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Membership/24-25/"/>
    </mc:Choice>
  </mc:AlternateContent>
  <xr:revisionPtr revIDLastSave="0" documentId="8_{E35C4266-B312-4A13-88BC-09914E0B3C58}" xr6:coauthVersionLast="47" xr6:coauthVersionMax="47" xr10:uidLastSave="{00000000-0000-0000-0000-000000000000}"/>
  <bookViews>
    <workbookView xWindow="28680" yWindow="-120" windowWidth="29040" windowHeight="17520" firstSheet="2" activeTab="2" xr2:uid="{00000000-000D-0000-FFFF-FFFF00000000}"/>
  </bookViews>
  <sheets>
    <sheet name="Chart1" sheetId="3" r:id="rId1"/>
    <sheet name="Chart2" sheetId="4" r:id="rId2"/>
    <sheet name="Michigan FFA Chapter Roster" sheetId="1" r:id="rId3"/>
    <sheet name="Sheet1" sheetId="2" r:id="rId4"/>
  </sheets>
  <definedNames>
    <definedName name="_Table1_In1">#REF!</definedName>
    <definedName name="_Table1_Out">'Michigan FFA Chapter Roster'!$D$1</definedName>
    <definedName name="Print_Area_MI" localSheetId="2">'Michigan FFA Chapter Roster'!$B$1:$J$130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28" i="1" l="1"/>
  <c r="I6" i="1"/>
  <c r="I111" i="1"/>
  <c r="I101" i="1"/>
  <c r="I100" i="1"/>
  <c r="I64" i="1"/>
  <c r="I37" i="1"/>
  <c r="I21" i="1"/>
  <c r="I127" i="1"/>
  <c r="I102" i="1"/>
  <c r="I84" i="1"/>
  <c r="I75" i="1"/>
  <c r="I73" i="1"/>
  <c r="I53" i="1"/>
  <c r="I10" i="1"/>
  <c r="I93" i="1"/>
  <c r="I66" i="1"/>
  <c r="I38" i="1"/>
  <c r="I31" i="1"/>
  <c r="I104" i="1"/>
  <c r="I87" i="1"/>
  <c r="I72" i="1"/>
  <c r="I16" i="1"/>
  <c r="I14" i="1"/>
  <c r="I117" i="1"/>
  <c r="I99" i="1"/>
  <c r="I67" i="1"/>
  <c r="I36" i="1"/>
  <c r="I35" i="1"/>
  <c r="I24" i="1"/>
  <c r="I9" i="1"/>
  <c r="I27" i="1"/>
  <c r="I123" i="1"/>
  <c r="I45" i="1"/>
  <c r="I44" i="1"/>
  <c r="I30" i="1"/>
  <c r="I118" i="1"/>
  <c r="I116" i="1"/>
  <c r="I94" i="1"/>
  <c r="I81" i="1"/>
  <c r="I29" i="1"/>
  <c r="I11" i="1"/>
  <c r="I106" i="1"/>
  <c r="I8" i="1"/>
  <c r="I18" i="1"/>
  <c r="I7" i="1" l="1"/>
  <c r="I119" i="1" l="1"/>
  <c r="I83" i="1"/>
  <c r="I58" i="1"/>
  <c r="I105" i="1" l="1"/>
  <c r="I77" i="1"/>
  <c r="I51" i="1"/>
  <c r="I41" i="1"/>
  <c r="I128" i="1"/>
  <c r="I122" i="1"/>
  <c r="I112" i="1"/>
  <c r="I74" i="1"/>
  <c r="I55" i="1"/>
  <c r="I26" i="1"/>
  <c r="I25" i="1"/>
  <c r="I109" i="1"/>
  <c r="I48" i="1"/>
  <c r="I92" i="1" l="1"/>
  <c r="I70" i="1"/>
  <c r="I50" i="1"/>
  <c r="I33" i="1"/>
  <c r="I32" i="1"/>
  <c r="I20" i="1"/>
  <c r="I17" i="1"/>
  <c r="I4" i="1"/>
  <c r="I71" i="1" l="1"/>
  <c r="I61" i="1" l="1"/>
  <c r="I120" i="1" l="1"/>
  <c r="I80" i="1"/>
  <c r="I79" i="1"/>
  <c r="I78" i="1"/>
  <c r="I54" i="1"/>
  <c r="I34" i="1"/>
  <c r="I22" i="1"/>
  <c r="I5" i="1"/>
  <c r="I91" i="1"/>
  <c r="I90" i="1"/>
  <c r="I69" i="1"/>
  <c r="I113" i="1"/>
  <c r="I52" i="1"/>
  <c r="I107" i="1"/>
  <c r="I68" i="1"/>
  <c r="I23" i="1"/>
  <c r="I42" i="1"/>
  <c r="I126" i="1" l="1"/>
  <c r="I108" i="1"/>
  <c r="I57" i="1"/>
  <c r="I56" i="1"/>
  <c r="I47" i="1"/>
  <c r="I19" i="1"/>
  <c r="I62" i="1" l="1"/>
  <c r="E103" i="1" l="1"/>
  <c r="F103" i="1" s="1"/>
  <c r="E40" i="1"/>
  <c r="F40" i="1" s="1"/>
  <c r="E115" i="1"/>
  <c r="E39" i="1"/>
  <c r="F39" i="1" s="1"/>
  <c r="E36" i="1"/>
  <c r="E101" i="1"/>
  <c r="F101" i="1" s="1"/>
  <c r="E111" i="1"/>
  <c r="F111" i="1" s="1"/>
  <c r="J127" i="1"/>
  <c r="E127" i="1"/>
  <c r="F127" i="1" s="1"/>
  <c r="B99" i="2"/>
  <c r="I129" i="1" l="1"/>
  <c r="I125" i="1"/>
  <c r="I89" i="1"/>
  <c r="I82" i="1"/>
  <c r="I76" i="1"/>
  <c r="I49" i="1"/>
  <c r="I12" i="1"/>
  <c r="I60" i="1" l="1"/>
  <c r="I59" i="1"/>
  <c r="I2" i="1" l="1"/>
  <c r="I95" i="1" l="1"/>
  <c r="I114" i="1" l="1"/>
  <c r="I46" i="1"/>
  <c r="I86" i="1" l="1"/>
  <c r="I85" i="1"/>
  <c r="I63" i="1"/>
  <c r="I124" i="1" l="1"/>
  <c r="I39" i="1" l="1"/>
  <c r="J39" i="1" s="1"/>
  <c r="I3" i="1" l="1"/>
  <c r="I110" i="1" l="1"/>
  <c r="I88" i="1"/>
  <c r="I65" i="1"/>
  <c r="I15" i="1"/>
  <c r="I130" i="1" l="1"/>
  <c r="F115" i="1"/>
  <c r="D130" i="1"/>
  <c r="E29" i="1"/>
  <c r="J75" i="1"/>
  <c r="J55" i="1"/>
  <c r="J60" i="1"/>
  <c r="E68" i="1"/>
  <c r="E23" i="1"/>
  <c r="E75" i="1"/>
  <c r="F75" i="1" s="1"/>
  <c r="E80" i="1"/>
  <c r="F80" i="1" s="1"/>
  <c r="E85" i="1"/>
  <c r="J115" i="1"/>
  <c r="J8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0" i="1" l="1"/>
  <c r="J30" i="1"/>
  <c r="J68" i="1"/>
  <c r="J52" i="1"/>
  <c r="J72" i="1"/>
  <c r="J114" i="1"/>
  <c r="J46" i="1"/>
  <c r="H130" i="1"/>
  <c r="J6" i="1"/>
  <c r="J107" i="1"/>
  <c r="F113" i="1"/>
  <c r="F12" i="1"/>
  <c r="J59" i="1"/>
  <c r="F124" i="1"/>
  <c r="J90" i="1" l="1"/>
  <c r="J98" i="1"/>
  <c r="J118" i="1"/>
  <c r="J102" i="1"/>
  <c r="J112" i="1"/>
  <c r="J42" i="1"/>
  <c r="J77" i="1"/>
  <c r="J67" i="1"/>
  <c r="J122" i="1"/>
  <c r="J13" i="1"/>
  <c r="J47" i="1"/>
  <c r="J9" i="1"/>
  <c r="J24" i="1"/>
  <c r="J84" i="1"/>
  <c r="J94" i="1"/>
  <c r="J32" i="1"/>
  <c r="J93" i="1"/>
  <c r="J51" i="1"/>
  <c r="J121" i="1"/>
  <c r="J2" i="1"/>
  <c r="J126" i="1"/>
  <c r="J82" i="1"/>
  <c r="J17" i="1"/>
  <c r="J85" i="1"/>
  <c r="J86" i="1"/>
  <c r="J33" i="1"/>
  <c r="J104" i="1"/>
  <c r="J37" i="1"/>
  <c r="J10" i="1"/>
  <c r="J41" i="1"/>
  <c r="J76" i="1"/>
  <c r="J11" i="1"/>
  <c r="J110" i="1"/>
  <c r="J7" i="1"/>
  <c r="J14" i="1"/>
  <c r="J22" i="1"/>
  <c r="J38" i="1"/>
  <c r="J48" i="1"/>
  <c r="J57" i="1"/>
  <c r="J65" i="1"/>
  <c r="J73" i="1"/>
  <c r="J83" i="1"/>
  <c r="J91" i="1"/>
  <c r="J99" i="1"/>
  <c r="J108" i="1"/>
  <c r="J119" i="1"/>
  <c r="J128" i="1"/>
  <c r="J16" i="1"/>
  <c r="J100" i="1"/>
  <c r="J21" i="1"/>
  <c r="J29" i="1"/>
  <c r="J56" i="1"/>
  <c r="J64" i="1"/>
  <c r="J71" i="1"/>
  <c r="J8" i="1"/>
  <c r="J15" i="1"/>
  <c r="J23" i="1"/>
  <c r="J31" i="1"/>
  <c r="J49" i="1"/>
  <c r="J58" i="1"/>
  <c r="J66" i="1"/>
  <c r="J74" i="1"/>
  <c r="J92" i="1"/>
  <c r="J109" i="1"/>
  <c r="J120" i="1"/>
  <c r="J25" i="1"/>
  <c r="J18" i="1"/>
  <c r="J26" i="1"/>
  <c r="J34" i="1"/>
  <c r="J43" i="1"/>
  <c r="J61" i="1"/>
  <c r="J87" i="1"/>
  <c r="J95" i="1"/>
  <c r="J113" i="1"/>
  <c r="J123" i="1"/>
  <c r="J4" i="1"/>
  <c r="J19" i="1"/>
  <c r="J27" i="1"/>
  <c r="J35" i="1"/>
  <c r="J44" i="1"/>
  <c r="J53" i="1"/>
  <c r="J62" i="1"/>
  <c r="J69" i="1"/>
  <c r="J79" i="1"/>
  <c r="J88" i="1"/>
  <c r="J96" i="1"/>
  <c r="J116" i="1"/>
  <c r="J124" i="1"/>
  <c r="J5" i="1"/>
  <c r="J12" i="1"/>
  <c r="J20" i="1"/>
  <c r="J28" i="1"/>
  <c r="J36" i="1"/>
  <c r="J45" i="1"/>
  <c r="J54" i="1"/>
  <c r="J63" i="1"/>
  <c r="J70" i="1"/>
  <c r="J81" i="1"/>
  <c r="J97" i="1"/>
  <c r="J106" i="1"/>
  <c r="J117" i="1"/>
  <c r="J129" i="1" l="1"/>
  <c r="F50" i="1"/>
  <c r="J50" i="1"/>
  <c r="J125" i="1"/>
  <c r="J89" i="1"/>
  <c r="J78" i="1"/>
  <c r="J3" i="1"/>
  <c r="J105" i="1" l="1"/>
  <c r="G130" i="1"/>
  <c r="J130" i="1" s="1"/>
  <c r="F14" i="1" l="1"/>
  <c r="F13" i="1" l="1"/>
  <c r="F7" i="1"/>
  <c r="F8" i="1" l="1"/>
  <c r="F6" i="1"/>
  <c r="F129" i="1"/>
  <c r="F128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2" i="1"/>
  <c r="F100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0" i="1" l="1"/>
</calcChain>
</file>

<file path=xl/sharedStrings.xml><?xml version="1.0" encoding="utf-8"?>
<sst xmlns="http://schemas.openxmlformats.org/spreadsheetml/2006/main" count="320" uniqueCount="279">
  <si>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</si>
  <si>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</si>
  <si>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</si>
  <si>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</si>
  <si>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</si>
  <si>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</si>
  <si>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</si>
  <si>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</si>
  <si>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</si>
  <si>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</si>
  <si>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</si>
  <si>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</si>
  <si>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</si>
  <si>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</si>
  <si>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</si>
  <si>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</si>
  <si>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</si>
  <si>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</si>
  <si>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</si>
  <si>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</si>
  <si>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</si>
  <si>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</si>
  <si>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</si>
  <si>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</si>
  <si>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</si>
  <si>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</si>
  <si>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</si>
  <si>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</si>
  <si>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</si>
  <si>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</si>
  <si>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</si>
  <si>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</si>
  <si>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</si>
  <si>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</si>
  <si>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</si>
  <si>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</si>
  <si>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</si>
  <si>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</si>
  <si>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</si>
  <si>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</si>
  <si>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</si>
  <si>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</si>
  <si>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</si>
  <si>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</si>
  <si>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</si>
  <si>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</si>
  <si>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</si>
  <si>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</si>
  <si>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</si>
  <si>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</si>
  <si>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</si>
  <si>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</si>
  <si>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</si>
  <si>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</si>
  <si>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</si>
  <si>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</si>
  <si>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</si>
  <si>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</si>
  <si>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</si>
  <si>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</si>
  <si>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</si>
  <si>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</si>
  <si>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</si>
  <si>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</si>
  <si>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</si>
  <si>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</si>
  <si>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</si>
  <si>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</si>
  <si>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</si>
  <si>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</si>
  <si>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</si>
  <si>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</si>
  <si>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</si>
  <si>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</si>
  <si>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</si>
  <si>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</si>
  <si>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</si>
  <si>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</si>
  <si>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</si>
  <si>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</si>
  <si>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</si>
  <si>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</si>
  <si>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</si>
  <si>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</si>
  <si>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</si>
  <si>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</si>
  <si>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</si>
  <si>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</si>
  <si>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</si>
  <si>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</si>
  <si>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</si>
  <si>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</si>
  <si>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</si>
  <si>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</si>
  <si>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</si>
  <si>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</si>
  <si>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</si>
  <si>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</si>
  <si>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</si>
  <si>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</si>
  <si>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</si>
  <si>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</si>
  <si>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</si>
  <si>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</si>
  <si>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</si>
  <si>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</si>
  <si>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</si>
  <si>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</si>
  <si>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</si>
  <si>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</si>
  <si>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</si>
  <si>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</si>
  <si>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</si>
  <si>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</si>
  <si>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</si>
  <si>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</si>
  <si>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</si>
  <si>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</si>
  <si>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</si>
  <si>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</si>
  <si>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</si>
  <si>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</si>
  <si>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</si>
  <si>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</si>
  <si>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</si>
  <si>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</si>
  <si>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</si>
  <si>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</si>
  <si>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</si>
  <si>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</si>
  <si>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</si>
  <si>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</si>
  <si>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</si>
  <si>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</si>
  <si>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</si>
  <si>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</si>
  <si>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</si>
  <si>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</si>
  <si>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</si>
  <si>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</si>
  <si>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</si>
  <si>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</si>
  <si>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</si>
  <si>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</si>
  <si>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</si>
  <si>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</si>
  <si>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</si>
  <si>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dropped 18 duplicates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</si>
  <si>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</si>
  <si>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</si>
  <si>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</si>
  <si>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</si>
  <si>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</si>
  <si>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</si>
  <si>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</si>
  <si>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</si>
  <si>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</si>
  <si>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</si>
  <si>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</si>
  <si>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</si>
  <si>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</si>
  <si>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</si>
  <si>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</si>
  <si>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</si>
  <si>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</si>
  <si>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</si>
  <si>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</si>
  <si>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</si>
  <si>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</si>
  <si>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</si>
  <si>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</si>
  <si>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</si>
  <si>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</si>
  <si>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</si>
  <si>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</si>
  <si>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</si>
  <si>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</si>
  <si>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</si>
  <si>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</si>
  <si>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</si>
  <si>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</si>
  <si>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</si>
  <si>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</si>
  <si>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</si>
  <si>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</si>
  <si>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</si>
  <si>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</si>
  <si>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</si>
  <si>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</si>
  <si>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</si>
  <si>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</si>
  <si>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</si>
  <si>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</si>
  <si>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</si>
  <si>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</si>
  <si>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</si>
  <si>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</si>
  <si>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</si>
  <si>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</si>
  <si>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</si>
  <si>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</si>
  <si>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</si>
  <si>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</si>
  <si>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</si>
  <si>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</si>
  <si>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</si>
  <si>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</si>
  <si>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</si>
  <si>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</si>
  <si>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</si>
  <si>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</si>
  <si>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</si>
  <si>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</si>
  <si>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</si>
  <si>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</si>
  <si>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</si>
  <si>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dropped 4 - moved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</si>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</sst>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C76-83A7-00424F7E1C9A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5-4C76-83A7-00424F7E1C9A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9278</c:v>
                </c:pt>
                <c:pt idx="6" formatCode="0_)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5-4C76-83A7-00424F7E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8559"/>
        <c:axId val="70768399"/>
      </c:barChart>
      <c:catAx>
        <c:axId val="7078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8399"/>
        <c:crosses val="autoZero"/>
        <c:auto val="1"/>
        <c:lblAlgn val="ctr"/>
        <c:lblOffset val="100"/>
        <c:noMultiLvlLbl val="0"/>
      </c:catAx>
      <c:valAx>
        <c:axId val="7076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A2-B349-4A030518FE37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DA2-B349-4A030518FE37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164</c:v>
                  </c:pt>
                  <c:pt idx="6">
                    <c:v>22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48</c:v>
                  </c:pt>
                  <c:pt idx="6">
                    <c:v>5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9278</c:v>
                </c:pt>
                <c:pt idx="6" formatCode="0_)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E-4DA2-B349-4A030518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414367"/>
        <c:axId val="509418687"/>
      </c:barChart>
      <c:catAx>
        <c:axId val="5094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8687"/>
        <c:crosses val="autoZero"/>
        <c:auto val="1"/>
        <c:lblAlgn val="ctr"/>
        <c:lblOffset val="100"/>
        <c:noMultiLvlLbl val="0"/>
      </c:catAx>
      <c:valAx>
        <c:axId val="50941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305C2-3607-9147-DE45-6EB0B55987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D94EA-85A6-23E6-220C-72C7371807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Y162"/>
  <sheetViews>
    <sheetView showGridLines="0" tabSelected="1" zoomScale="150" zoomScaleNormal="150" workbookViewId="0">
      <pane ySplit="1" topLeftCell="A121" activePane="bottomLeft" state="frozen"/>
      <selection pane="bottomLeft" activeCell="B133" sqref="B133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6" si="0">E2-D2</f>
        <v>503</v>
      </c>
      <c r="G2" s="55">
        <v>51</v>
      </c>
      <c r="H2" s="13"/>
      <c r="I2" s="61">
        <f>50</f>
        <v>50</v>
      </c>
      <c r="J2" s="14">
        <f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50+50+4+1+1+1+1</f>
        <v>108</v>
      </c>
      <c r="J4" s="14">
        <f t="shared" ref="J4:J67" si="1">I4-G4</f>
        <v>5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19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1+26+21</f>
        <v>48</v>
      </c>
      <c r="J6" s="14">
        <f t="shared" si="1"/>
        <v>5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>
        <v>731</v>
      </c>
      <c r="E7" s="12">
        <f>IFERROR(VLOOKUP(G7,Sheet1!$A$1:$B$98,2,TRUE),0)</f>
        <v>731</v>
      </c>
      <c r="F7" s="12">
        <f>E7-D7</f>
        <v>0</v>
      </c>
      <c r="G7" s="55">
        <v>80</v>
      </c>
      <c r="H7" s="13"/>
      <c r="I7" s="61">
        <f>35+9+27+26+30+30+17+16+30+1</f>
        <v>221</v>
      </c>
      <c r="J7" s="14">
        <f t="shared" si="1"/>
        <v>141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>
        <v>137</v>
      </c>
      <c r="E8" s="12">
        <f>IFERROR(VLOOKUP(G8,Sheet1!$A$1:$B$98,2,TRUE),0)</f>
        <v>137</v>
      </c>
      <c r="F8" s="12">
        <f>E8-D8</f>
        <v>0</v>
      </c>
      <c r="G8" s="55">
        <v>15</v>
      </c>
      <c r="H8" s="13"/>
      <c r="I8" s="61">
        <f>10+1</f>
        <v>11</v>
      </c>
      <c r="J8" s="14">
        <f t="shared" si="1"/>
        <v>-4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>
        <v>1507</v>
      </c>
      <c r="E9" s="12">
        <f>IFERROR(VLOOKUP(G9,Sheet1!$A$1:$B$98,2,TRUE),0)</f>
        <v>1507</v>
      </c>
      <c r="F9" s="12">
        <f t="shared" ref="F9:F129" si="2">E9-D9</f>
        <v>0</v>
      </c>
      <c r="G9" s="55">
        <v>162</v>
      </c>
      <c r="H9" s="13"/>
      <c r="I9" s="61">
        <f>50+44+19-1</f>
        <v>112</v>
      </c>
      <c r="J9" s="14">
        <f t="shared" si="1"/>
        <v>-50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>
        <v>640</v>
      </c>
      <c r="E10" s="12">
        <f>IFERROR(VLOOKUP(G10,Sheet1!$A$1:$B$98,2,TRUE),0)</f>
        <v>640</v>
      </c>
      <c r="F10" s="12">
        <f t="shared" si="2"/>
        <v>0</v>
      </c>
      <c r="G10" s="55">
        <v>69</v>
      </c>
      <c r="H10" s="13"/>
      <c r="I10" s="61">
        <f>25+18+2+1+7+1</f>
        <v>54</v>
      </c>
      <c r="J10" s="14">
        <f t="shared" si="1"/>
        <v>-15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>
      <c r="A11" s="8" t="s">
        <v>33</v>
      </c>
      <c r="B11" s="9" t="s">
        <v>34</v>
      </c>
      <c r="C11" s="10">
        <v>5</v>
      </c>
      <c r="D11" s="11">
        <v>183</v>
      </c>
      <c r="E11" s="12">
        <f>IFERROR(VLOOKUP(G11,Sheet1!$A$1:$B$98,2,TRUE),0)</f>
        <v>183</v>
      </c>
      <c r="F11" s="12">
        <f t="shared" si="2"/>
        <v>0</v>
      </c>
      <c r="G11" s="55">
        <v>20</v>
      </c>
      <c r="H11" s="13"/>
      <c r="I11" s="61">
        <f>16+43+45+46+3+3+1</f>
        <v>157</v>
      </c>
      <c r="J11" s="14">
        <f t="shared" si="1"/>
        <v>137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2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>E13-D13</f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>E14-D14</f>
        <v>0</v>
      </c>
      <c r="G14" s="55">
        <v>138</v>
      </c>
      <c r="H14" s="13"/>
      <c r="I14" s="61">
        <f>1+3+1+4+74+8+50+21+3+1</f>
        <v>166</v>
      </c>
      <c r="J14" s="14">
        <f t="shared" si="1"/>
        <v>28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2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2"/>
        <v>0</v>
      </c>
      <c r="G16" s="55">
        <v>85</v>
      </c>
      <c r="H16" s="13"/>
      <c r="I16" s="61">
        <f>84+2+1</f>
        <v>87</v>
      </c>
      <c r="J16" s="14">
        <f t="shared" si="1"/>
        <v>2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2"/>
        <v>0</v>
      </c>
      <c r="G17" s="55">
        <v>67</v>
      </c>
      <c r="H17" s="13"/>
      <c r="I17" s="61">
        <f>139+2</f>
        <v>141</v>
      </c>
      <c r="J17" s="14">
        <f t="shared" si="1"/>
        <v>74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100</v>
      </c>
      <c r="H18" s="13"/>
      <c r="I18" s="61">
        <f>50+13+20+9+1+10+9+5</f>
        <v>117</v>
      </c>
      <c r="J18" s="14">
        <f t="shared" si="1"/>
        <v>17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5</v>
      </c>
      <c r="D19" s="11">
        <v>1005</v>
      </c>
      <c r="E19" s="12">
        <f>IFERROR(VLOOKUP(G19,Sheet1!$A$1:$B$98,2,TRUE),0)</f>
        <v>1005</v>
      </c>
      <c r="F19" s="12">
        <f t="shared" si="2"/>
        <v>0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2"/>
        <v>457</v>
      </c>
      <c r="G20" s="55">
        <v>49</v>
      </c>
      <c r="H20" s="13"/>
      <c r="I20" s="61">
        <f>32+5+4</f>
        <v>41</v>
      </c>
      <c r="J20" s="14">
        <f t="shared" si="1"/>
        <v>-8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>
        <v>328</v>
      </c>
      <c r="E21" s="12">
        <f>IFERROR(VLOOKUP(G21,Sheet1!$A$1:$B$98,2,TRUE),0)</f>
        <v>228</v>
      </c>
      <c r="F21" s="12">
        <f t="shared" si="2"/>
        <v>-100</v>
      </c>
      <c r="G21" s="55">
        <v>23</v>
      </c>
      <c r="H21" s="13"/>
      <c r="I21" s="61">
        <f>1+14+10</f>
        <v>25</v>
      </c>
      <c r="J21" s="14">
        <f t="shared" si="1"/>
        <v>2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2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2"/>
        <v>503</v>
      </c>
      <c r="G23" s="55">
        <v>54</v>
      </c>
      <c r="H23" s="13"/>
      <c r="I23" s="61">
        <f>6+47+1</f>
        <v>54</v>
      </c>
      <c r="J23" s="14">
        <f t="shared" si="1"/>
        <v>0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2"/>
        <v>548</v>
      </c>
      <c r="G24" s="55">
        <v>58</v>
      </c>
      <c r="H24" s="13"/>
      <c r="I24" s="61">
        <f>4+3+32+1+1+1+1</f>
        <v>43</v>
      </c>
      <c r="J24" s="14">
        <f t="shared" si="1"/>
        <v>-15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>
        <v>365</v>
      </c>
      <c r="E25" s="12">
        <f>IFERROR(VLOOKUP(G25,Sheet1!$A$1:$B$98,2,TRUE),0)</f>
        <v>365</v>
      </c>
      <c r="F25" s="12">
        <f t="shared" si="2"/>
        <v>0</v>
      </c>
      <c r="G25" s="55">
        <v>39</v>
      </c>
      <c r="H25" s="13"/>
      <c r="I25" s="61">
        <f>18+3+8</f>
        <v>29</v>
      </c>
      <c r="J25" s="14">
        <f t="shared" si="1"/>
        <v>-10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2"/>
        <v>503</v>
      </c>
      <c r="G26" s="55">
        <v>55</v>
      </c>
      <c r="H26" s="13"/>
      <c r="I26" s="61">
        <f>50+39+1</f>
        <v>90</v>
      </c>
      <c r="J26" s="14">
        <f t="shared" si="1"/>
        <v>35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2"/>
        <v>503</v>
      </c>
      <c r="G27" s="55">
        <v>53</v>
      </c>
      <c r="H27" s="13"/>
      <c r="I27" s="61">
        <f>37+11+43+1</f>
        <v>92</v>
      </c>
      <c r="J27" s="14">
        <f t="shared" si="1"/>
        <v>39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>
        <v>1324</v>
      </c>
      <c r="E28" s="12">
        <f>IFERROR(VLOOKUP(G28,Sheet1!$A$1:$B$98,2,TRUE),0)</f>
        <v>1324</v>
      </c>
      <c r="F28" s="12">
        <f t="shared" si="2"/>
        <v>0</v>
      </c>
      <c r="G28" s="55">
        <v>142</v>
      </c>
      <c r="H28" s="13"/>
      <c r="I28" s="61">
        <f>50+14+100</f>
        <v>164</v>
      </c>
      <c r="J28" s="14">
        <f t="shared" si="1"/>
        <v>22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2"/>
        <v>365</v>
      </c>
      <c r="G29" s="55">
        <v>36</v>
      </c>
      <c r="H29" s="13"/>
      <c r="I29" s="61">
        <f>33+1+3+1+1+1+1+46+24+4+1</f>
        <v>116</v>
      </c>
      <c r="J29" s="14">
        <f t="shared" si="1"/>
        <v>80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>
        <v>503</v>
      </c>
      <c r="E30" s="12">
        <f>IFERROR(VLOOKUP(G30,Sheet1!$A$1:$B$98,2,TRUE),0)</f>
        <v>503</v>
      </c>
      <c r="F30" s="12">
        <f t="shared" si="2"/>
        <v>0</v>
      </c>
      <c r="G30" s="55">
        <v>55</v>
      </c>
      <c r="H30" s="13"/>
      <c r="I30" s="61">
        <f>34+10+2</f>
        <v>46</v>
      </c>
      <c r="J30" s="14">
        <f>I30-G30</f>
        <v>-9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>
        <v>776</v>
      </c>
      <c r="E31" s="12">
        <f>IFERROR(VLOOKUP(G31,Sheet1!$A$1:$B$98,2,TRUE),0)</f>
        <v>776</v>
      </c>
      <c r="F31" s="12">
        <f t="shared" si="2"/>
        <v>0</v>
      </c>
      <c r="G31" s="55">
        <v>83</v>
      </c>
      <c r="H31" s="13"/>
      <c r="I31" s="61">
        <f>50+46+1+7</f>
        <v>104</v>
      </c>
      <c r="J31" s="14">
        <f t="shared" si="1"/>
        <v>21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>
        <v>640</v>
      </c>
      <c r="E32" s="12">
        <f>IFERROR(VLOOKUP(G32,Sheet1!$A$1:$B$98,2,TRUE),0)</f>
        <v>640</v>
      </c>
      <c r="F32" s="12">
        <f t="shared" si="2"/>
        <v>0</v>
      </c>
      <c r="G32" s="55">
        <v>70</v>
      </c>
      <c r="H32" s="13"/>
      <c r="I32" s="61">
        <f>39</f>
        <v>39</v>
      </c>
      <c r="J32" s="14">
        <f t="shared" si="1"/>
        <v>-31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>
        <v>320</v>
      </c>
      <c r="E33" s="12">
        <f>IFERROR(VLOOKUP(G33,Sheet1!$A$1:$B$98,2,TRUE),0)</f>
        <v>320</v>
      </c>
      <c r="F33" s="12">
        <f t="shared" si="2"/>
        <v>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>
        <v>640</v>
      </c>
      <c r="E34" s="12">
        <f>IFERROR(VLOOKUP(G34,Sheet1!$A$1:$B$98,2,TRUE),0)</f>
        <v>640</v>
      </c>
      <c r="F34" s="12">
        <f t="shared" si="2"/>
        <v>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2"/>
        <v>0</v>
      </c>
      <c r="G35" s="55">
        <v>106</v>
      </c>
      <c r="H35" s="13"/>
      <c r="I35" s="61">
        <f>112+1+1+1+63+13</f>
        <v>191</v>
      </c>
      <c r="J35" s="14">
        <f t="shared" si="1"/>
        <v>85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>
        <v>1782</v>
      </c>
      <c r="E36" s="12">
        <f>IFERROR(VLOOKUP(G36,Sheet1!$A$1:$B$98,2,TRUE),0)</f>
        <v>1782</v>
      </c>
      <c r="F36" s="12">
        <f t="shared" si="2"/>
        <v>0</v>
      </c>
      <c r="G36" s="55">
        <v>191</v>
      </c>
      <c r="H36" s="13"/>
      <c r="I36" s="61">
        <f>22+41+50+24+14+8+6+50+5-1</f>
        <v>219</v>
      </c>
      <c r="J36" s="14">
        <f t="shared" si="1"/>
        <v>28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2"/>
        <v>137</v>
      </c>
      <c r="G37" s="55">
        <v>13</v>
      </c>
      <c r="H37" s="13"/>
      <c r="I37" s="61">
        <f>8+3+6+1+2+4+1</f>
        <v>25</v>
      </c>
      <c r="J37" s="14">
        <f t="shared" si="1"/>
        <v>12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>
        <v>365</v>
      </c>
      <c r="E38" s="12">
        <f>IFERROR(VLOOKUP(G38,Sheet1!$A$1:$B$98,2,TRUE),0)</f>
        <v>365</v>
      </c>
      <c r="F38" s="12">
        <f t="shared" si="2"/>
        <v>0</v>
      </c>
      <c r="G38" s="55">
        <v>36</v>
      </c>
      <c r="H38" s="13"/>
      <c r="I38" s="61">
        <f>33+10+1</f>
        <v>44</v>
      </c>
      <c r="J38" s="14">
        <f t="shared" si="1"/>
        <v>8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2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ref="F40" si="3">E40-D40</f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>
        <v>959</v>
      </c>
      <c r="E41" s="12">
        <f>IFERROR(VLOOKUP(G41,Sheet1!$A$1:$B$98,2,TRUE),0)</f>
        <v>959</v>
      </c>
      <c r="F41" s="12">
        <f t="shared" si="2"/>
        <v>0</v>
      </c>
      <c r="G41" s="55">
        <v>103</v>
      </c>
      <c r="H41" s="13"/>
      <c r="I41" s="61">
        <f>97</f>
        <v>97</v>
      </c>
      <c r="J41" s="14">
        <f t="shared" si="1"/>
        <v>-6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2"/>
        <v>2147</v>
      </c>
      <c r="G42" s="55">
        <v>232</v>
      </c>
      <c r="H42" s="13"/>
      <c r="I42" s="61">
        <f>6+201+1</f>
        <v>208</v>
      </c>
      <c r="J42" s="14">
        <f t="shared" si="1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>
        <v>228</v>
      </c>
      <c r="E44" s="12">
        <f>IFERROR(VLOOKUP(G44,Sheet1!$A$1:$B$98,2,TRUE),0)</f>
        <v>228</v>
      </c>
      <c r="F44" s="12">
        <f t="shared" si="2"/>
        <v>0</v>
      </c>
      <c r="G44" s="55">
        <v>23</v>
      </c>
      <c r="H44" s="13"/>
      <c r="I44" s="61">
        <f>24</f>
        <v>24</v>
      </c>
      <c r="J44" s="14">
        <f t="shared" si="1"/>
        <v>1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>
        <v>183</v>
      </c>
      <c r="E45" s="12">
        <f>IFERROR(VLOOKUP(G45,Sheet1!$A$1:$B$98,2,TRUE),0)</f>
        <v>183</v>
      </c>
      <c r="F45" s="12">
        <f t="shared" si="2"/>
        <v>0</v>
      </c>
      <c r="G45" s="55">
        <v>17</v>
      </c>
      <c r="H45" s="13"/>
      <c r="I45" s="61">
        <f>17</f>
        <v>17</v>
      </c>
      <c r="J45" s="14">
        <f t="shared" si="1"/>
        <v>0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2"/>
        <v>0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>
        <v>731</v>
      </c>
      <c r="E47" s="12">
        <f>IFERROR(VLOOKUP(G47,Sheet1!$A$1:$B$98,2,TRUE),0)</f>
        <v>731</v>
      </c>
      <c r="F47" s="12">
        <f t="shared" si="2"/>
        <v>0</v>
      </c>
      <c r="G47" s="55">
        <v>78</v>
      </c>
      <c r="H47" s="13"/>
      <c r="I47" s="61">
        <f>90</f>
        <v>90</v>
      </c>
      <c r="J47" s="14">
        <f t="shared" si="1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>
        <v>1371</v>
      </c>
      <c r="E48" s="12">
        <f>IFERROR(VLOOKUP(G48,Sheet1!$A$1:$B$98,2,TRUE),0)</f>
        <v>1371</v>
      </c>
      <c r="F48" s="12">
        <f t="shared" si="2"/>
        <v>0</v>
      </c>
      <c r="G48" s="55">
        <v>147</v>
      </c>
      <c r="H48" s="13"/>
      <c r="I48" s="61">
        <f>50+92+11+18</f>
        <v>171</v>
      </c>
      <c r="J48" s="14">
        <f t="shared" si="1"/>
        <v>24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>
        <v>1096</v>
      </c>
      <c r="E49" s="12">
        <f>IFERROR(VLOOKUP(G49,Sheet1!$A$1:$B$98,2,TRUE),0)</f>
        <v>1096</v>
      </c>
      <c r="F49" s="12">
        <f t="shared" si="2"/>
        <v>0</v>
      </c>
      <c r="G49" s="55">
        <v>120</v>
      </c>
      <c r="H49" s="13"/>
      <c r="I49" s="61">
        <f>125</f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2"/>
        <v>457</v>
      </c>
      <c r="G50" s="55">
        <v>50</v>
      </c>
      <c r="H50" s="13"/>
      <c r="I50" s="61">
        <f>21</f>
        <v>21</v>
      </c>
      <c r="J50" s="14">
        <f t="shared" si="1"/>
        <v>-29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2"/>
        <v>776</v>
      </c>
      <c r="G51" s="55">
        <v>85</v>
      </c>
      <c r="H51" s="13"/>
      <c r="I51" s="61">
        <f>87+19</f>
        <v>106</v>
      </c>
      <c r="J51" s="14">
        <f t="shared" si="1"/>
        <v>21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>
        <v>776</v>
      </c>
      <c r="E52" s="12">
        <f>IFERROR(VLOOKUP(G52,Sheet1!$A$1:$B$98,2,TRUE),0)</f>
        <v>776</v>
      </c>
      <c r="F52" s="12">
        <f t="shared" si="2"/>
        <v>0</v>
      </c>
      <c r="G52" s="55">
        <v>85</v>
      </c>
      <c r="H52" s="13"/>
      <c r="I52" s="61">
        <f>38+1+1+20+14+3+1</f>
        <v>78</v>
      </c>
      <c r="J52" s="14">
        <f>I52-G52</f>
        <v>-7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>
        <v>457</v>
      </c>
      <c r="E53" s="12">
        <f>IFERROR(VLOOKUP(G53,Sheet1!$A$1:$B$98,2,TRUE),0)</f>
        <v>457</v>
      </c>
      <c r="F53" s="12">
        <f t="shared" si="2"/>
        <v>0</v>
      </c>
      <c r="G53" s="55">
        <v>46</v>
      </c>
      <c r="H53" s="13"/>
      <c r="I53" s="61">
        <f>17+6+2+13+2+6</f>
        <v>46</v>
      </c>
      <c r="J53" s="14">
        <f t="shared" si="1"/>
        <v>0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2"/>
        <v>731</v>
      </c>
      <c r="G54" s="55">
        <v>80</v>
      </c>
      <c r="H54" s="13"/>
      <c r="I54" s="61">
        <f>64+2+2+9</f>
        <v>77</v>
      </c>
      <c r="J54" s="14">
        <f t="shared" si="1"/>
        <v>-3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>
        <v>457</v>
      </c>
      <c r="E55" s="12">
        <f>IFERROR(VLOOKUP(G55,Sheet1!$A$1:$B$98,2,TRUE),0)</f>
        <v>457</v>
      </c>
      <c r="F55" s="12">
        <f t="shared" si="2"/>
        <v>0</v>
      </c>
      <c r="G55" s="55">
        <v>50</v>
      </c>
      <c r="H55" s="13"/>
      <c r="I55" s="61">
        <f>3+20+13</f>
        <v>36</v>
      </c>
      <c r="J55" s="14">
        <f>I55-G55</f>
        <v>-14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2"/>
        <v>365</v>
      </c>
      <c r="G56" s="55">
        <v>38</v>
      </c>
      <c r="H56" s="13"/>
      <c r="I56" s="61">
        <f>19+7</f>
        <v>26</v>
      </c>
      <c r="J56" s="14">
        <f t="shared" si="1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2"/>
        <v>228</v>
      </c>
      <c r="G57" s="55">
        <v>23</v>
      </c>
      <c r="H57" s="13"/>
      <c r="I57" s="61">
        <f>25+3+1</f>
        <v>29</v>
      </c>
      <c r="J57" s="14">
        <f t="shared" si="1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>
        <v>914</v>
      </c>
      <c r="E58" s="12">
        <f>IFERROR(VLOOKUP(G58,Sheet1!$A$1:$B$98,2,TRUE),0)</f>
        <v>914</v>
      </c>
      <c r="F58" s="12">
        <f t="shared" si="2"/>
        <v>0</v>
      </c>
      <c r="G58" s="55">
        <v>97</v>
      </c>
      <c r="H58" s="13"/>
      <c r="I58" s="61">
        <f>99+11+1+1</f>
        <v>112</v>
      </c>
      <c r="J58" s="14">
        <f t="shared" si="1"/>
        <v>15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2"/>
        <v>411</v>
      </c>
      <c r="G59" s="55">
        <v>43</v>
      </c>
      <c r="H59" s="13"/>
      <c r="I59" s="61">
        <f>39+1+3</f>
        <v>43</v>
      </c>
      <c r="J59" s="14">
        <f t="shared" si="1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2"/>
        <v>365</v>
      </c>
      <c r="G60" s="55">
        <v>40</v>
      </c>
      <c r="H60" s="13"/>
      <c r="I60" s="61">
        <f>11+17+6+6+1+4+3</f>
        <v>48</v>
      </c>
      <c r="J60" s="14">
        <f t="shared" si="1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2"/>
        <v>0</v>
      </c>
      <c r="G61" s="55">
        <v>88</v>
      </c>
      <c r="H61" s="13"/>
      <c r="I61" s="61">
        <f>23+7+1+50+4</f>
        <v>85</v>
      </c>
      <c r="J61" s="14">
        <f t="shared" si="1"/>
        <v>-3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2"/>
        <v>0</v>
      </c>
      <c r="G62" s="55">
        <v>55</v>
      </c>
      <c r="H62" s="13"/>
      <c r="I62" s="61">
        <f>71</f>
        <v>71</v>
      </c>
      <c r="J62" s="14">
        <f t="shared" si="1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2"/>
        <v>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>
        <v>959</v>
      </c>
      <c r="E64" s="12">
        <f>IFERROR(VLOOKUP(G64,Sheet1!$A$1:$B$98,2,TRUE),0)</f>
        <v>959</v>
      </c>
      <c r="F64" s="12">
        <f t="shared" si="2"/>
        <v>0</v>
      </c>
      <c r="G64" s="55">
        <v>101</v>
      </c>
      <c r="H64" s="13"/>
      <c r="I64" s="61">
        <f>91+1+2</f>
        <v>94</v>
      </c>
      <c r="J64" s="14">
        <f t="shared" si="1"/>
        <v>-7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>
        <v>1690</v>
      </c>
      <c r="E65" s="12">
        <f>IFERROR(VLOOKUP(G65,Sheet1!$A$1:$B$98,2,TRUE),0)</f>
        <v>1690</v>
      </c>
      <c r="F65" s="12">
        <f t="shared" si="2"/>
        <v>0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2"/>
        <v>823</v>
      </c>
      <c r="G66" s="55">
        <v>87</v>
      </c>
      <c r="H66" s="13"/>
      <c r="I66" s="61">
        <f>130+23+2-18+2+1</f>
        <v>140</v>
      </c>
      <c r="J66" s="14">
        <f t="shared" si="1"/>
        <v>53</v>
      </c>
      <c r="K66" s="7">
        <v>137</v>
      </c>
      <c r="L66" s="7"/>
      <c r="M66" s="7" t="s">
        <v>22</v>
      </c>
      <c r="N66" s="7"/>
      <c r="O66" s="51" t="s">
        <v>147</v>
      </c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148</v>
      </c>
      <c r="B67" s="9" t="s">
        <v>149</v>
      </c>
      <c r="C67" s="10">
        <v>2</v>
      </c>
      <c r="D67" s="11">
        <v>503</v>
      </c>
      <c r="E67" s="12">
        <f>IFERROR(VLOOKUP(G67,Sheet1!$A$1:$B$98,2,TRUE),0)</f>
        <v>503</v>
      </c>
      <c r="F67" s="12">
        <f t="shared" si="2"/>
        <v>0</v>
      </c>
      <c r="G67" s="55">
        <v>55</v>
      </c>
      <c r="H67" s="13"/>
      <c r="I67" s="61">
        <f>103-1</f>
        <v>102</v>
      </c>
      <c r="J67" s="14">
        <f t="shared" si="1"/>
        <v>47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150</v>
      </c>
      <c r="B68" s="9" t="s">
        <v>151</v>
      </c>
      <c r="C68" s="10">
        <v>2</v>
      </c>
      <c r="D68" s="11">
        <v>640</v>
      </c>
      <c r="E68" s="12">
        <f>IFERROR(VLOOKUP(G68,Sheet1!$A$1:$B$98,2,TRUE),0)</f>
        <v>640</v>
      </c>
      <c r="F68" s="12">
        <f t="shared" si="2"/>
        <v>0</v>
      </c>
      <c r="G68" s="55">
        <v>69</v>
      </c>
      <c r="H68" s="13"/>
      <c r="I68" s="61">
        <f>74+1</f>
        <v>75</v>
      </c>
      <c r="J68" s="14">
        <f>I68-G68</f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152</v>
      </c>
      <c r="B69" s="9" t="s">
        <v>153</v>
      </c>
      <c r="C69" s="10">
        <v>5</v>
      </c>
      <c r="D69" s="11">
        <v>1005</v>
      </c>
      <c r="E69" s="12">
        <f>IFERROR(VLOOKUP(G69,Sheet1!$A$1:$B$98,2,TRUE),0)</f>
        <v>1005</v>
      </c>
      <c r="F69" s="12">
        <f t="shared" si="2"/>
        <v>0</v>
      </c>
      <c r="G69" s="55">
        <v>110</v>
      </c>
      <c r="H69" s="13"/>
      <c r="I69" s="61">
        <f>155</f>
        <v>155</v>
      </c>
      <c r="J69" s="14">
        <f t="shared" ref="J69:J130" si="4">I69-G69</f>
        <v>45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154</v>
      </c>
      <c r="B70" s="9" t="s">
        <v>155</v>
      </c>
      <c r="C70" s="10">
        <v>2</v>
      </c>
      <c r="D70" s="11">
        <v>457</v>
      </c>
      <c r="E70" s="12">
        <f>IFERROR(VLOOKUP(G70,Sheet1!$A$1:$B$98,2,TRUE),0)</f>
        <v>457</v>
      </c>
      <c r="F70" s="12">
        <f t="shared" si="2"/>
        <v>0</v>
      </c>
      <c r="G70" s="55">
        <v>50</v>
      </c>
      <c r="H70" s="13"/>
      <c r="I70" s="61">
        <f>44+1+5</f>
        <v>50</v>
      </c>
      <c r="J70" s="14">
        <f t="shared" si="4"/>
        <v>0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156</v>
      </c>
      <c r="B71" s="9" t="s">
        <v>157</v>
      </c>
      <c r="C71" s="10">
        <v>1</v>
      </c>
      <c r="D71" s="11">
        <v>1142</v>
      </c>
      <c r="E71" s="12">
        <f>IFERROR(VLOOKUP(G71,Sheet1!$A$1:$B$98,2,TRUE),0)</f>
        <v>1142</v>
      </c>
      <c r="F71" s="12">
        <f t="shared" si="2"/>
        <v>0</v>
      </c>
      <c r="G71" s="55">
        <v>123</v>
      </c>
      <c r="H71" s="13"/>
      <c r="I71" s="61">
        <f>70+23</f>
        <v>93</v>
      </c>
      <c r="J71" s="14">
        <f t="shared" si="4"/>
        <v>-30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158</v>
      </c>
      <c r="B72" s="9" t="s">
        <v>159</v>
      </c>
      <c r="C72" s="10">
        <v>1</v>
      </c>
      <c r="D72" s="11"/>
      <c r="E72" s="12">
        <f>IFERROR(VLOOKUP(G72,Sheet1!$A$1:$B$98,2,TRUE),0)</f>
        <v>228</v>
      </c>
      <c r="F72" s="12">
        <f t="shared" si="2"/>
        <v>228</v>
      </c>
      <c r="G72" s="55">
        <v>21</v>
      </c>
      <c r="H72" s="13"/>
      <c r="I72" s="61">
        <f>17+6+1+7-1+2+1</f>
        <v>33</v>
      </c>
      <c r="J72" s="14">
        <f t="shared" si="4"/>
        <v>12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160</v>
      </c>
      <c r="B73" s="9" t="s">
        <v>161</v>
      </c>
      <c r="C73" s="10">
        <v>1</v>
      </c>
      <c r="D73" s="11">
        <v>1371</v>
      </c>
      <c r="E73" s="12">
        <f>IFERROR(VLOOKUP(G73,Sheet1!$A$1:$B$98,2,TRUE),0)</f>
        <v>1371</v>
      </c>
      <c r="F73" s="12">
        <f t="shared" si="2"/>
        <v>0</v>
      </c>
      <c r="G73" s="55">
        <v>148</v>
      </c>
      <c r="H73" s="13"/>
      <c r="I73" s="61">
        <f>131+1+1+1+5+1+2+2+3+1</f>
        <v>148</v>
      </c>
      <c r="J73" s="14">
        <f t="shared" si="4"/>
        <v>0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162</v>
      </c>
      <c r="B74" s="9" t="s">
        <v>163</v>
      </c>
      <c r="C74" s="10">
        <v>4</v>
      </c>
      <c r="D74" s="11"/>
      <c r="E74" s="12">
        <f>IFERROR(VLOOKUP(G74,Sheet1!$A$1:$B$98,2,TRUE),0)</f>
        <v>823</v>
      </c>
      <c r="F74" s="12">
        <f t="shared" si="2"/>
        <v>823</v>
      </c>
      <c r="G74" s="55">
        <v>88</v>
      </c>
      <c r="H74" s="13"/>
      <c r="I74" s="61">
        <f>48+17+8+14</f>
        <v>87</v>
      </c>
      <c r="J74" s="14">
        <f t="shared" si="4"/>
        <v>-1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164</v>
      </c>
      <c r="B75" s="9" t="s">
        <v>165</v>
      </c>
      <c r="C75" s="10">
        <v>5</v>
      </c>
      <c r="D75" s="11"/>
      <c r="E75" s="12">
        <f>IFERROR(VLOOKUP(G75,Sheet1!$A$1:$B$98,2,TRUE),0)</f>
        <v>274</v>
      </c>
      <c r="F75" s="12">
        <f t="shared" si="2"/>
        <v>274</v>
      </c>
      <c r="G75" s="55">
        <v>27</v>
      </c>
      <c r="H75" s="13"/>
      <c r="I75" s="61">
        <f>3+27+1</f>
        <v>31</v>
      </c>
      <c r="J75" s="14">
        <f>I75-G75</f>
        <v>4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166</v>
      </c>
      <c r="B76" s="9" t="s">
        <v>167</v>
      </c>
      <c r="C76" s="10">
        <v>2</v>
      </c>
      <c r="D76" s="11">
        <v>959</v>
      </c>
      <c r="E76" s="12">
        <f>IFERROR(VLOOKUP(G76,Sheet1!$A$1:$B$98,2,TRUE),0)</f>
        <v>959</v>
      </c>
      <c r="F76" s="12">
        <f t="shared" si="2"/>
        <v>0</v>
      </c>
      <c r="G76" s="55">
        <v>105</v>
      </c>
      <c r="H76" s="13"/>
      <c r="I76" s="61">
        <f>128</f>
        <v>128</v>
      </c>
      <c r="J76" s="14">
        <f t="shared" si="4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168</v>
      </c>
      <c r="B77" s="9" t="s">
        <v>169</v>
      </c>
      <c r="C77" s="10">
        <v>5</v>
      </c>
      <c r="D77" s="11"/>
      <c r="E77" s="12">
        <f>IFERROR(VLOOKUP(G77,Sheet1!$A$1:$B$98,2,TRUE),0)</f>
        <v>2786</v>
      </c>
      <c r="F77" s="12">
        <f t="shared" si="2"/>
        <v>2786</v>
      </c>
      <c r="G77" s="55">
        <v>302</v>
      </c>
      <c r="H77" s="13"/>
      <c r="I77" s="61">
        <f>41+13+4+93+5+42+38+19+1+37+1+1+1+7+4+3</f>
        <v>310</v>
      </c>
      <c r="J77" s="14">
        <f t="shared" si="4"/>
        <v>8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170</v>
      </c>
      <c r="B78" s="9" t="s">
        <v>171</v>
      </c>
      <c r="C78" s="10">
        <v>5</v>
      </c>
      <c r="D78" s="11"/>
      <c r="E78" s="12">
        <f>IFERROR(VLOOKUP(G78,Sheet1!$A$1:$B$98,2,TRUE),0)</f>
        <v>228</v>
      </c>
      <c r="F78" s="12">
        <f t="shared" si="2"/>
        <v>228</v>
      </c>
      <c r="G78" s="55">
        <v>24</v>
      </c>
      <c r="H78" s="13"/>
      <c r="I78" s="61">
        <f>25</f>
        <v>25</v>
      </c>
      <c r="J78" s="14">
        <f t="shared" si="4"/>
        <v>1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172</v>
      </c>
      <c r="B79" s="9" t="s">
        <v>173</v>
      </c>
      <c r="C79" s="10">
        <v>5</v>
      </c>
      <c r="D79" s="11">
        <v>274</v>
      </c>
      <c r="E79" s="12">
        <f>IFERROR(VLOOKUP(G79,Sheet1!$A$1:$B$98,2,TRUE),0)</f>
        <v>274</v>
      </c>
      <c r="F79" s="12">
        <f t="shared" si="2"/>
        <v>0</v>
      </c>
      <c r="G79" s="55">
        <v>28</v>
      </c>
      <c r="H79" s="13"/>
      <c r="I79" s="61">
        <f>20</f>
        <v>20</v>
      </c>
      <c r="J79" s="14">
        <f t="shared" si="4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174</v>
      </c>
      <c r="B80" s="9" t="s">
        <v>175</v>
      </c>
      <c r="C80" s="10">
        <v>5</v>
      </c>
      <c r="D80" s="11">
        <v>228</v>
      </c>
      <c r="E80" s="12">
        <f>IFERROR(VLOOKUP(G80,Sheet1!$A$1:$B$98,2,TRUE),0)</f>
        <v>228</v>
      </c>
      <c r="F80" s="12">
        <f t="shared" si="2"/>
        <v>0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176</v>
      </c>
      <c r="B81" s="9" t="s">
        <v>177</v>
      </c>
      <c r="C81" s="10">
        <v>4</v>
      </c>
      <c r="D81" s="11"/>
      <c r="E81" s="12">
        <f>IFERROR(VLOOKUP(G81,Sheet1!$A$1:$B$98,2,TRUE),0)</f>
        <v>1416</v>
      </c>
      <c r="F81" s="12">
        <f t="shared" si="2"/>
        <v>1416</v>
      </c>
      <c r="G81" s="55">
        <v>153</v>
      </c>
      <c r="H81" s="13"/>
      <c r="I81" s="61">
        <f>29+20+12+7+5+4+4+2+20+1+9+7+4+1</f>
        <v>125</v>
      </c>
      <c r="J81" s="14">
        <f t="shared" si="4"/>
        <v>-28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178</v>
      </c>
      <c r="B82" s="9" t="s">
        <v>179</v>
      </c>
      <c r="C82" s="10">
        <v>5</v>
      </c>
      <c r="D82" s="11">
        <v>685</v>
      </c>
      <c r="E82" s="12">
        <f>IFERROR(VLOOKUP(G82,Sheet1!$A$1:$B$98,2,TRUE),0)</f>
        <v>685</v>
      </c>
      <c r="F82" s="12">
        <f t="shared" si="2"/>
        <v>0</v>
      </c>
      <c r="G82" s="55">
        <v>71</v>
      </c>
      <c r="H82" s="13"/>
      <c r="I82" s="61">
        <f>55</f>
        <v>55</v>
      </c>
      <c r="J82" s="14">
        <f t="shared" si="4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180</v>
      </c>
      <c r="B83" s="9" t="s">
        <v>181</v>
      </c>
      <c r="C83" s="10">
        <v>1</v>
      </c>
      <c r="D83" s="11"/>
      <c r="E83" s="12">
        <f>IFERROR(VLOOKUP(G83,Sheet1!$A$1:$B$98,2,TRUE),0)</f>
        <v>1919</v>
      </c>
      <c r="F83" s="12">
        <f t="shared" si="2"/>
        <v>1919</v>
      </c>
      <c r="G83" s="55">
        <v>208</v>
      </c>
      <c r="H83" s="13"/>
      <c r="I83" s="61">
        <f>4+10+1+11+1</f>
        <v>27</v>
      </c>
      <c r="J83" s="14">
        <f t="shared" si="4"/>
        <v>-181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182</v>
      </c>
      <c r="B84" s="9" t="s">
        <v>183</v>
      </c>
      <c r="C84" s="10">
        <v>2</v>
      </c>
      <c r="D84" s="11">
        <v>228</v>
      </c>
      <c r="E84" s="12">
        <f>IFERROR(VLOOKUP(G84,Sheet1!$A$1:$B$98,2,TRUE),0)</f>
        <v>228</v>
      </c>
      <c r="F84" s="12">
        <f t="shared" si="2"/>
        <v>0</v>
      </c>
      <c r="G84" s="55">
        <v>22</v>
      </c>
      <c r="H84" s="13"/>
      <c r="I84" s="61">
        <f>8</f>
        <v>8</v>
      </c>
      <c r="J84" s="14">
        <f t="shared" si="4"/>
        <v>-14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184</v>
      </c>
      <c r="B85" s="49" t="s">
        <v>185</v>
      </c>
      <c r="C85" s="13">
        <v>6</v>
      </c>
      <c r="D85" s="11">
        <v>274</v>
      </c>
      <c r="E85" s="12">
        <f>IFERROR(VLOOKUP(G85,Sheet1!$A$1:$B$98,2,TRUE),0)</f>
        <v>274</v>
      </c>
      <c r="F85" s="12">
        <f>E85-D85</f>
        <v>0</v>
      </c>
      <c r="G85" s="55">
        <v>28</v>
      </c>
      <c r="H85" s="13"/>
      <c r="I85" s="61">
        <f>25</f>
        <v>25</v>
      </c>
      <c r="J85" s="14">
        <f t="shared" si="4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186</v>
      </c>
      <c r="B86" s="8" t="s">
        <v>187</v>
      </c>
      <c r="C86" s="13">
        <v>6</v>
      </c>
      <c r="D86" s="11">
        <v>274</v>
      </c>
      <c r="E86" s="12">
        <f>IFERROR(VLOOKUP(G86,Sheet1!$A$1:$B$98,2,TRUE),0)</f>
        <v>274</v>
      </c>
      <c r="F86" s="12">
        <f>E86-D86</f>
        <v>0</v>
      </c>
      <c r="G86" s="55">
        <v>27</v>
      </c>
      <c r="H86" s="13"/>
      <c r="I86" s="61">
        <f>26</f>
        <v>26</v>
      </c>
      <c r="J86" s="14">
        <f t="shared" si="4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188</v>
      </c>
      <c r="B87" s="9" t="s">
        <v>189</v>
      </c>
      <c r="C87" s="10">
        <v>3</v>
      </c>
      <c r="D87" s="11">
        <v>1279</v>
      </c>
      <c r="E87" s="12">
        <f>IFERROR(VLOOKUP(G87,Sheet1!$A$1:$B$98,2,TRUE),0)</f>
        <v>1279</v>
      </c>
      <c r="F87" s="12">
        <f t="shared" si="2"/>
        <v>0</v>
      </c>
      <c r="G87" s="55">
        <v>138</v>
      </c>
      <c r="H87" s="13"/>
      <c r="I87" s="61">
        <f>50+71+10+1+1</f>
        <v>133</v>
      </c>
      <c r="J87" s="14">
        <f t="shared" si="4"/>
        <v>-5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190</v>
      </c>
      <c r="B88" s="9" t="s">
        <v>191</v>
      </c>
      <c r="C88" s="10">
        <v>2</v>
      </c>
      <c r="D88" s="11">
        <v>411</v>
      </c>
      <c r="E88" s="12">
        <f>IFERROR(VLOOKUP(G88,Sheet1!$A$1:$B$98,2,TRUE),0)</f>
        <v>411</v>
      </c>
      <c r="F88" s="12">
        <f t="shared" si="2"/>
        <v>0</v>
      </c>
      <c r="G88" s="55">
        <v>42</v>
      </c>
      <c r="H88" s="13"/>
      <c r="I88" s="61">
        <f>44+1</f>
        <v>45</v>
      </c>
      <c r="J88" s="14">
        <f t="shared" si="4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192</v>
      </c>
      <c r="B89" s="9" t="s">
        <v>193</v>
      </c>
      <c r="C89" s="10">
        <v>2</v>
      </c>
      <c r="D89" s="11">
        <v>411</v>
      </c>
      <c r="E89" s="12">
        <f>IFERROR(VLOOKUP(G89,Sheet1!$A$1:$B$98,2,TRUE),0)</f>
        <v>411</v>
      </c>
      <c r="F89" s="12">
        <f t="shared" si="2"/>
        <v>0</v>
      </c>
      <c r="G89" s="55">
        <v>41</v>
      </c>
      <c r="H89" s="13"/>
      <c r="I89" s="61">
        <f>39</f>
        <v>39</v>
      </c>
      <c r="J89" s="14">
        <f t="shared" si="4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194</v>
      </c>
      <c r="B90" s="9" t="s">
        <v>195</v>
      </c>
      <c r="C90" s="10">
        <v>2</v>
      </c>
      <c r="D90" s="11">
        <v>228</v>
      </c>
      <c r="E90" s="12">
        <f>IFERROR(VLOOKUP(G90,Sheet1!$A$1:$B$98,2,TRUE),0)</f>
        <v>228</v>
      </c>
      <c r="F90" s="12">
        <f t="shared" si="2"/>
        <v>0</v>
      </c>
      <c r="G90" s="55">
        <v>21</v>
      </c>
      <c r="H90" s="13"/>
      <c r="I90" s="61">
        <f>26</f>
        <v>26</v>
      </c>
      <c r="J90" s="14">
        <f t="shared" si="4"/>
        <v>5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196</v>
      </c>
      <c r="B91" s="9" t="s">
        <v>197</v>
      </c>
      <c r="C91" s="10">
        <v>2</v>
      </c>
      <c r="D91" s="11">
        <v>274</v>
      </c>
      <c r="E91" s="12">
        <f>IFERROR(VLOOKUP(G91,Sheet1!$A$1:$B$98,2,TRUE),0)</f>
        <v>274</v>
      </c>
      <c r="F91" s="12">
        <f t="shared" si="2"/>
        <v>0</v>
      </c>
      <c r="G91" s="55">
        <v>29</v>
      </c>
      <c r="H91" s="13"/>
      <c r="I91" s="61">
        <f>31</f>
        <v>31</v>
      </c>
      <c r="J91" s="14">
        <f t="shared" si="4"/>
        <v>2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198</v>
      </c>
      <c r="B92" s="9" t="s">
        <v>199</v>
      </c>
      <c r="C92" s="10">
        <v>6</v>
      </c>
      <c r="D92" s="11"/>
      <c r="E92" s="12">
        <f>IFERROR(VLOOKUP(G92,Sheet1!$A$1:$B$98,2,TRUE),0)</f>
        <v>503</v>
      </c>
      <c r="F92" s="12">
        <f t="shared" si="2"/>
        <v>503</v>
      </c>
      <c r="G92" s="55">
        <v>52</v>
      </c>
      <c r="H92" s="13"/>
      <c r="I92" s="61">
        <f>118</f>
        <v>118</v>
      </c>
      <c r="J92" s="14">
        <f t="shared" si="4"/>
        <v>66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200</v>
      </c>
      <c r="B93" s="9" t="s">
        <v>201</v>
      </c>
      <c r="C93" s="10">
        <v>1</v>
      </c>
      <c r="D93" s="11"/>
      <c r="E93" s="12">
        <f>IFERROR(VLOOKUP(G93,Sheet1!$A$1:$B$98,2,TRUE),0)</f>
        <v>731</v>
      </c>
      <c r="F93" s="12">
        <f t="shared" si="2"/>
        <v>731</v>
      </c>
      <c r="G93" s="55">
        <v>80</v>
      </c>
      <c r="H93" s="13"/>
      <c r="I93" s="61">
        <f>48+1+1+2+10+1+1+12+1</f>
        <v>77</v>
      </c>
      <c r="J93" s="14">
        <f t="shared" si="4"/>
        <v>-3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202</v>
      </c>
      <c r="B94" s="9" t="s">
        <v>203</v>
      </c>
      <c r="C94" s="10">
        <v>4</v>
      </c>
      <c r="D94" s="11"/>
      <c r="E94" s="12">
        <f>IFERROR(VLOOKUP(G94,Sheet1!$A$1:$B$98,2,TRUE),0)</f>
        <v>868</v>
      </c>
      <c r="F94" s="12">
        <f t="shared" si="2"/>
        <v>868</v>
      </c>
      <c r="G94" s="55">
        <v>94</v>
      </c>
      <c r="H94" s="13"/>
      <c r="I94" s="61">
        <f>83+1+8+4</f>
        <v>96</v>
      </c>
      <c r="J94" s="14">
        <f t="shared" si="4"/>
        <v>2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204</v>
      </c>
      <c r="B95" s="9" t="s">
        <v>205</v>
      </c>
      <c r="C95" s="10">
        <v>4</v>
      </c>
      <c r="D95" s="11">
        <v>1051</v>
      </c>
      <c r="E95" s="12">
        <f>IFERROR(VLOOKUP(G95,Sheet1!$A$1:$B$98,2,TRUE),0)</f>
        <v>1051</v>
      </c>
      <c r="F95" s="12">
        <f>E95-D95</f>
        <v>0</v>
      </c>
      <c r="G95" s="55">
        <v>114</v>
      </c>
      <c r="H95" s="13"/>
      <c r="I95" s="61">
        <f>47+32+34+15</f>
        <v>128</v>
      </c>
      <c r="J95" s="14">
        <f t="shared" si="4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206</v>
      </c>
      <c r="B96" s="9" t="s">
        <v>207</v>
      </c>
      <c r="C96" s="10">
        <v>2</v>
      </c>
      <c r="D96" s="11">
        <v>183</v>
      </c>
      <c r="E96" s="12">
        <f>IFERROR(VLOOKUP(G96,Sheet1!$A$1:$B$98,2,TRUE),0)</f>
        <v>183</v>
      </c>
      <c r="F96" s="12">
        <f t="shared" si="2"/>
        <v>0</v>
      </c>
      <c r="G96" s="55">
        <v>19</v>
      </c>
      <c r="H96" s="13"/>
      <c r="I96" s="61">
        <v>15</v>
      </c>
      <c r="J96" s="14">
        <f t="shared" si="4"/>
        <v>-4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208</v>
      </c>
      <c r="B97" s="9" t="s">
        <v>209</v>
      </c>
      <c r="C97" s="10">
        <v>2</v>
      </c>
      <c r="D97" s="11">
        <v>183</v>
      </c>
      <c r="E97" s="12">
        <f>IFERROR(VLOOKUP(G97,Sheet1!$A$1:$B$98,2,TRUE),0)</f>
        <v>183</v>
      </c>
      <c r="F97" s="12">
        <f t="shared" si="2"/>
        <v>0</v>
      </c>
      <c r="G97" s="55">
        <v>20</v>
      </c>
      <c r="H97" s="13"/>
      <c r="I97" s="61">
        <v>11</v>
      </c>
      <c r="J97" s="14">
        <f t="shared" si="4"/>
        <v>-9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210</v>
      </c>
      <c r="B98" s="9" t="s">
        <v>211</v>
      </c>
      <c r="C98" s="23">
        <v>2</v>
      </c>
      <c r="D98" s="11">
        <v>228</v>
      </c>
      <c r="E98" s="12">
        <f>IFERROR(VLOOKUP(G98,Sheet1!$A$1:$B$98,2,TRUE),0)</f>
        <v>228</v>
      </c>
      <c r="F98" s="12">
        <f t="shared" si="2"/>
        <v>0</v>
      </c>
      <c r="G98" s="55">
        <v>22</v>
      </c>
      <c r="H98" s="13"/>
      <c r="I98" s="61">
        <v>18</v>
      </c>
      <c r="J98" s="14">
        <f t="shared" si="4"/>
        <v>-4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212</v>
      </c>
      <c r="B99" s="21" t="s">
        <v>213</v>
      </c>
      <c r="C99" s="41">
        <v>4</v>
      </c>
      <c r="D99" s="37">
        <v>914</v>
      </c>
      <c r="E99" s="12">
        <f>IFERROR(VLOOKUP(G99,Sheet1!$A$1:$B$98,2,TRUE),0)</f>
        <v>914</v>
      </c>
      <c r="F99" s="12">
        <f t="shared" si="2"/>
        <v>0</v>
      </c>
      <c r="G99" s="55">
        <v>99</v>
      </c>
      <c r="H99" s="13"/>
      <c r="I99" s="61">
        <f>96+1+1</f>
        <v>98</v>
      </c>
      <c r="J99" s="14">
        <f t="shared" si="4"/>
        <v>-1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214</v>
      </c>
      <c r="B100" s="21" t="s">
        <v>215</v>
      </c>
      <c r="C100" s="65">
        <v>5</v>
      </c>
      <c r="D100" s="11">
        <v>2055</v>
      </c>
      <c r="E100" s="12">
        <f>IFERROR(VLOOKUP(G100,Sheet1!$A$1:$B$98,2,TRUE),0)</f>
        <v>2055</v>
      </c>
      <c r="F100" s="12">
        <f t="shared" si="2"/>
        <v>0</v>
      </c>
      <c r="G100" s="55">
        <v>222</v>
      </c>
      <c r="H100" s="13"/>
      <c r="I100" s="61">
        <f>50+172+1+1+1-4+1+1</f>
        <v>223</v>
      </c>
      <c r="J100" s="14">
        <f t="shared" si="4"/>
        <v>1</v>
      </c>
      <c r="K100" s="7">
        <v>179</v>
      </c>
      <c r="L100" s="7"/>
      <c r="M100" s="7" t="s">
        <v>22</v>
      </c>
      <c r="N100" s="7"/>
      <c r="O100" s="51" t="s">
        <v>216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217</v>
      </c>
      <c r="B101" s="21" t="s">
        <v>218</v>
      </c>
      <c r="C101" s="65">
        <v>3</v>
      </c>
      <c r="D101" s="11"/>
      <c r="E101" s="12">
        <f>IFERROR(VLOOKUP(G101,Sheet1!$A$1:$B$98,2,TRUE),0)</f>
        <v>0</v>
      </c>
      <c r="F101" s="12">
        <f t="shared" ref="F101" si="5">E101-D101</f>
        <v>0</v>
      </c>
      <c r="G101" s="55"/>
      <c r="H101" s="13"/>
      <c r="I101" s="61">
        <f>34+1+1+3+1+5+17</f>
        <v>62</v>
      </c>
      <c r="J101" s="14"/>
      <c r="K101" s="7"/>
      <c r="L101" s="7"/>
      <c r="M101" s="7"/>
      <c r="N101" s="7"/>
      <c r="O101" s="51" t="s">
        <v>91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219</v>
      </c>
      <c r="B102" s="21" t="s">
        <v>220</v>
      </c>
      <c r="C102" s="13">
        <v>2</v>
      </c>
      <c r="D102" s="11"/>
      <c r="E102" s="12">
        <f>IFERROR(VLOOKUP(G102,Sheet1!$A$1:$B$98,2,TRUE),0)</f>
        <v>228</v>
      </c>
      <c r="F102" s="12">
        <f t="shared" si="2"/>
        <v>228</v>
      </c>
      <c r="G102" s="55">
        <v>21</v>
      </c>
      <c r="H102" s="13"/>
      <c r="I102" s="61">
        <f>8+4+2+4+2+1+13+2+1+20+6</f>
        <v>63</v>
      </c>
      <c r="J102" s="14">
        <f t="shared" si="4"/>
        <v>42</v>
      </c>
      <c r="K102" s="7"/>
      <c r="L102" s="7"/>
      <c r="M102" s="7">
        <v>15</v>
      </c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221</v>
      </c>
      <c r="B103" s="21" t="s">
        <v>222</v>
      </c>
      <c r="C103" s="13">
        <v>6</v>
      </c>
      <c r="D103" s="11"/>
      <c r="E103" s="12">
        <f>IFERROR(VLOOKUP(G103,Sheet1!$A$1:$B$98,2,TRUE),0)</f>
        <v>0</v>
      </c>
      <c r="F103" s="12">
        <f t="shared" ref="F103" si="6">E103-D103</f>
        <v>0</v>
      </c>
      <c r="G103" s="55"/>
      <c r="H103" s="13"/>
      <c r="I103" s="61"/>
      <c r="J103" s="14"/>
      <c r="K103" s="7"/>
      <c r="L103" s="7"/>
      <c r="M103" s="7"/>
      <c r="N103" s="7"/>
      <c r="O103" s="51" t="s">
        <v>91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223</v>
      </c>
      <c r="B104" s="21" t="s">
        <v>224</v>
      </c>
      <c r="C104" s="13">
        <v>3</v>
      </c>
      <c r="D104" s="11">
        <v>457</v>
      </c>
      <c r="E104" s="12">
        <f>IFERROR(VLOOKUP(G104,Sheet1!$A$1:$B$98,2,TRUE),0)</f>
        <v>457</v>
      </c>
      <c r="F104" s="12">
        <f t="shared" si="2"/>
        <v>0</v>
      </c>
      <c r="G104" s="55">
        <v>49</v>
      </c>
      <c r="H104" s="13"/>
      <c r="I104" s="61">
        <f>16</f>
        <v>16</v>
      </c>
      <c r="J104" s="14">
        <f t="shared" si="4"/>
        <v>-33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225</v>
      </c>
      <c r="B105" s="9" t="s">
        <v>226</v>
      </c>
      <c r="C105" s="22">
        <v>2</v>
      </c>
      <c r="D105" s="11"/>
      <c r="E105" s="12">
        <f>IFERROR(VLOOKUP(G105,Sheet1!$A$1:$B$98,2,TRUE),0)</f>
        <v>776</v>
      </c>
      <c r="F105" s="12">
        <f t="shared" si="2"/>
        <v>776</v>
      </c>
      <c r="G105" s="55">
        <v>84</v>
      </c>
      <c r="H105" s="13"/>
      <c r="I105" s="61">
        <f>14+48+1+2+2+2+2+1+3</f>
        <v>75</v>
      </c>
      <c r="J105" s="14">
        <f t="shared" si="4"/>
        <v>-9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227</v>
      </c>
      <c r="B106" s="9" t="s">
        <v>228</v>
      </c>
      <c r="C106" s="10">
        <v>2</v>
      </c>
      <c r="D106" s="11">
        <v>548</v>
      </c>
      <c r="E106" s="12">
        <f>IFERROR(VLOOKUP(G106,Sheet1!$A$1:$B$98,2,TRUE),0)</f>
        <v>548</v>
      </c>
      <c r="F106" s="12">
        <f t="shared" si="2"/>
        <v>0</v>
      </c>
      <c r="G106" s="55">
        <v>56</v>
      </c>
      <c r="H106" s="13"/>
      <c r="I106" s="61">
        <f>11+15+1+14+1+4+1+1+2+2+1+1+1+19+1</f>
        <v>75</v>
      </c>
      <c r="J106" s="14">
        <f t="shared" si="4"/>
        <v>19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229</v>
      </c>
      <c r="B107" s="9" t="s">
        <v>230</v>
      </c>
      <c r="C107" s="10">
        <v>3</v>
      </c>
      <c r="D107" s="11">
        <v>594</v>
      </c>
      <c r="E107" s="12">
        <f>IFERROR(VLOOKUP(G107,Sheet1!$A$1:$B$98,2,TRUE),0)</f>
        <v>594</v>
      </c>
      <c r="F107" s="12">
        <f t="shared" si="2"/>
        <v>0</v>
      </c>
      <c r="G107" s="55">
        <v>65</v>
      </c>
      <c r="H107" s="13"/>
      <c r="I107" s="61">
        <f>40+50+6</f>
        <v>96</v>
      </c>
      <c r="J107" s="14">
        <f t="shared" si="4"/>
        <v>31</v>
      </c>
      <c r="K107" s="7"/>
      <c r="L107" s="7"/>
      <c r="M107" s="7">
        <v>61</v>
      </c>
      <c r="N107" s="7" t="s">
        <v>231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232</v>
      </c>
      <c r="B108" s="9" t="s">
        <v>233</v>
      </c>
      <c r="C108" s="10">
        <v>5</v>
      </c>
      <c r="D108" s="11">
        <v>685</v>
      </c>
      <c r="E108" s="12">
        <f>IFERROR(VLOOKUP(G108,Sheet1!$A$1:$B$98,2,TRUE),0)</f>
        <v>685</v>
      </c>
      <c r="F108" s="12">
        <f t="shared" si="2"/>
        <v>0</v>
      </c>
      <c r="G108" s="55">
        <v>75</v>
      </c>
      <c r="H108" s="13"/>
      <c r="I108" s="61">
        <f>66</f>
        <v>66</v>
      </c>
      <c r="J108" s="14">
        <f t="shared" si="4"/>
        <v>-9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234</v>
      </c>
      <c r="B109" s="9" t="s">
        <v>235</v>
      </c>
      <c r="C109" s="10">
        <v>2</v>
      </c>
      <c r="D109" s="11">
        <v>1553</v>
      </c>
      <c r="E109" s="12">
        <f>IFERROR(VLOOKUP(G109,Sheet1!$A$1:$B$98,2,TRUE),0)</f>
        <v>1553</v>
      </c>
      <c r="F109" s="12">
        <f t="shared" si="2"/>
        <v>0</v>
      </c>
      <c r="G109" s="55">
        <v>170</v>
      </c>
      <c r="H109" s="13"/>
      <c r="I109" s="61">
        <f>121+17+12+11</f>
        <v>161</v>
      </c>
      <c r="J109" s="14">
        <f t="shared" si="4"/>
        <v>-9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236</v>
      </c>
      <c r="B110" s="38" t="s">
        <v>237</v>
      </c>
      <c r="C110" s="23">
        <v>3</v>
      </c>
      <c r="D110" s="11">
        <v>183</v>
      </c>
      <c r="E110" s="12">
        <f>IFERROR(VLOOKUP(G110,Sheet1!$A$1:$B$98,2,TRUE),0)</f>
        <v>183</v>
      </c>
      <c r="F110" s="12">
        <f t="shared" si="2"/>
        <v>0</v>
      </c>
      <c r="G110" s="55">
        <v>20</v>
      </c>
      <c r="H110" s="13"/>
      <c r="I110" s="61">
        <f>1+10+2+1+8</f>
        <v>22</v>
      </c>
      <c r="J110" s="14">
        <f t="shared" si="4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6" t="s">
        <v>238</v>
      </c>
      <c r="B111" s="40" t="s">
        <v>239</v>
      </c>
      <c r="C111" s="41">
        <v>4</v>
      </c>
      <c r="D111" s="37"/>
      <c r="E111" s="12">
        <f>IFERROR(VLOOKUP(G111,Sheet1!$A$1:$B$98,2,TRUE),0)</f>
        <v>0</v>
      </c>
      <c r="F111" s="12">
        <f t="shared" ref="F111" si="7">E111-D111</f>
        <v>0</v>
      </c>
      <c r="G111" s="55"/>
      <c r="H111" s="13"/>
      <c r="I111" s="61">
        <f>30+1+1+1+3+9+2</f>
        <v>47</v>
      </c>
      <c r="J111" s="14"/>
      <c r="K111" s="7"/>
      <c r="L111" s="7"/>
      <c r="M111" s="7"/>
      <c r="N111" s="7"/>
      <c r="O111" s="51" t="s">
        <v>91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240</v>
      </c>
      <c r="B112" s="40" t="s">
        <v>241</v>
      </c>
      <c r="C112" s="41">
        <v>6</v>
      </c>
      <c r="D112" s="37">
        <v>914</v>
      </c>
      <c r="E112" s="12">
        <f>IFERROR(VLOOKUP(G112,Sheet1!$A$1:$B$98,2,TRUE),0)</f>
        <v>914</v>
      </c>
      <c r="F112" s="12">
        <f t="shared" si="2"/>
        <v>0</v>
      </c>
      <c r="G112" s="55">
        <v>97</v>
      </c>
      <c r="H112" s="13"/>
      <c r="I112" s="61">
        <f>38+1+9+1</f>
        <v>49</v>
      </c>
      <c r="J112" s="14">
        <f t="shared" si="4"/>
        <v>-48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242</v>
      </c>
      <c r="B113" s="40" t="s">
        <v>243</v>
      </c>
      <c r="C113" s="41">
        <v>4</v>
      </c>
      <c r="D113" s="37">
        <v>685</v>
      </c>
      <c r="E113" s="12">
        <f>IFERROR(VLOOKUP(G113,Sheet1!$A$1:$B$98,2,TRUE),0)</f>
        <v>685</v>
      </c>
      <c r="F113" s="12">
        <f t="shared" si="2"/>
        <v>0</v>
      </c>
      <c r="G113" s="55">
        <v>71</v>
      </c>
      <c r="H113" s="13"/>
      <c r="I113" s="61">
        <f>50+18</f>
        <v>68</v>
      </c>
      <c r="J113" s="14">
        <f t="shared" si="4"/>
        <v>-3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244</v>
      </c>
      <c r="B114" s="42" t="s">
        <v>245</v>
      </c>
      <c r="C114" s="43">
        <v>1</v>
      </c>
      <c r="D114" s="50">
        <v>1188</v>
      </c>
      <c r="E114" s="12">
        <f>IFERROR(VLOOKUP(G114,Sheet1!$A$1:$B$98,2,TRUE),0)</f>
        <v>1188</v>
      </c>
      <c r="F114" s="12">
        <f t="shared" si="2"/>
        <v>0</v>
      </c>
      <c r="G114" s="56">
        <v>127</v>
      </c>
      <c r="H114" s="13"/>
      <c r="I114" s="62">
        <f>141</f>
        <v>141</v>
      </c>
      <c r="J114" s="14">
        <f t="shared" si="4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246</v>
      </c>
      <c r="B115" s="40" t="s">
        <v>247</v>
      </c>
      <c r="C115" s="41">
        <v>2</v>
      </c>
      <c r="D115" s="50"/>
      <c r="E115" s="12">
        <f>IFERROR(VLOOKUP(G115,Sheet1!$A$1:$B$98,2,TRUE),0)</f>
        <v>137</v>
      </c>
      <c r="F115" s="12">
        <f t="shared" si="2"/>
        <v>137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248</v>
      </c>
      <c r="B116" s="40" t="s">
        <v>249</v>
      </c>
      <c r="C116" s="41">
        <v>3</v>
      </c>
      <c r="D116" s="46">
        <v>320</v>
      </c>
      <c r="E116" s="12">
        <f>IFERROR(VLOOKUP(G116,Sheet1!$A$1:$B$98,2,TRUE),0)</f>
        <v>320</v>
      </c>
      <c r="F116" s="12">
        <f t="shared" si="2"/>
        <v>0</v>
      </c>
      <c r="G116" s="58">
        <v>31</v>
      </c>
      <c r="H116" s="13"/>
      <c r="I116" s="64">
        <f>39+1</f>
        <v>40</v>
      </c>
      <c r="J116" s="14">
        <f t="shared" si="4"/>
        <v>9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250</v>
      </c>
      <c r="B117" s="39" t="s">
        <v>251</v>
      </c>
      <c r="C117" s="22">
        <v>3</v>
      </c>
      <c r="D117" s="45">
        <v>228</v>
      </c>
      <c r="E117" s="12">
        <f>IFERROR(VLOOKUP(G117,Sheet1!$A$1:$B$98,2,TRUE),0)</f>
        <v>228</v>
      </c>
      <c r="F117" s="12">
        <f t="shared" si="2"/>
        <v>0</v>
      </c>
      <c r="G117" s="55">
        <v>24</v>
      </c>
      <c r="H117" s="13"/>
      <c r="I117" s="61">
        <f>19+11-10</f>
        <v>20</v>
      </c>
      <c r="J117" s="14">
        <f t="shared" si="4"/>
        <v>-4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252</v>
      </c>
      <c r="B118" s="9" t="s">
        <v>253</v>
      </c>
      <c r="C118" s="10">
        <v>3</v>
      </c>
      <c r="D118" s="11">
        <v>1599</v>
      </c>
      <c r="E118" s="12">
        <f>IFERROR(VLOOKUP(G118,Sheet1!$A$1:$B$98,2,TRUE),0)</f>
        <v>1599</v>
      </c>
      <c r="F118" s="12">
        <f t="shared" si="2"/>
        <v>0</v>
      </c>
      <c r="G118" s="55">
        <v>174</v>
      </c>
      <c r="H118" s="13"/>
      <c r="I118" s="61">
        <f>136+9+1+1</f>
        <v>147</v>
      </c>
      <c r="J118" s="14">
        <f t="shared" si="4"/>
        <v>-27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254</v>
      </c>
      <c r="B119" s="9" t="s">
        <v>255</v>
      </c>
      <c r="C119" s="10">
        <v>3</v>
      </c>
      <c r="D119" s="11"/>
      <c r="E119" s="12">
        <f>IFERROR(VLOOKUP(G119,Sheet1!$A$1:$B$98,2,TRUE),0)</f>
        <v>868</v>
      </c>
      <c r="F119" s="12">
        <f t="shared" si="2"/>
        <v>868</v>
      </c>
      <c r="G119" s="55">
        <v>94</v>
      </c>
      <c r="H119" s="13"/>
      <c r="I119" s="61">
        <f>50+49+2</f>
        <v>101</v>
      </c>
      <c r="J119" s="14">
        <f t="shared" si="4"/>
        <v>7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256</v>
      </c>
      <c r="B120" s="9" t="s">
        <v>257</v>
      </c>
      <c r="C120" s="10">
        <v>1</v>
      </c>
      <c r="D120" s="11">
        <v>457</v>
      </c>
      <c r="E120" s="12">
        <f>IFERROR(VLOOKUP(G120,Sheet1!$A$1:$B$98,2,TRUE),0)</f>
        <v>457</v>
      </c>
      <c r="F120" s="12">
        <f t="shared" si="2"/>
        <v>0</v>
      </c>
      <c r="G120" s="55">
        <v>46</v>
      </c>
      <c r="H120" s="13"/>
      <c r="I120" s="61">
        <f>46</f>
        <v>46</v>
      </c>
      <c r="J120" s="14">
        <f t="shared" si="4"/>
        <v>0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258</v>
      </c>
      <c r="B121" s="9" t="s">
        <v>259</v>
      </c>
      <c r="C121" s="23">
        <v>1</v>
      </c>
      <c r="D121" s="11">
        <v>183</v>
      </c>
      <c r="E121" s="12">
        <f>IFERROR(VLOOKUP(G121,Sheet1!$A$1:$B$98,2,TRUE),0)</f>
        <v>183</v>
      </c>
      <c r="F121" s="12">
        <f t="shared" si="2"/>
        <v>0</v>
      </c>
      <c r="G121" s="55">
        <v>20</v>
      </c>
      <c r="H121" s="13"/>
      <c r="I121" s="61">
        <v>20</v>
      </c>
      <c r="J121" s="14">
        <f t="shared" si="4"/>
        <v>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260</v>
      </c>
      <c r="B122" s="21" t="s">
        <v>261</v>
      </c>
      <c r="C122" s="13">
        <v>2</v>
      </c>
      <c r="D122" s="11">
        <v>1051</v>
      </c>
      <c r="E122" s="12">
        <f>IFERROR(VLOOKUP(G122,Sheet1!$A$1:$B$98,2,TRUE),0)</f>
        <v>1051</v>
      </c>
      <c r="F122" s="12">
        <f t="shared" si="2"/>
        <v>0</v>
      </c>
      <c r="G122" s="55">
        <v>112</v>
      </c>
      <c r="H122" s="13"/>
      <c r="I122" s="61">
        <f>91+4+5+2</f>
        <v>102</v>
      </c>
      <c r="J122" s="14">
        <f t="shared" si="4"/>
        <v>-10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262</v>
      </c>
      <c r="B123" s="25" t="s">
        <v>263</v>
      </c>
      <c r="C123" s="13">
        <v>4</v>
      </c>
      <c r="D123" s="11"/>
      <c r="E123" s="12">
        <f>IFERROR(VLOOKUP(G123,Sheet1!$A$1:$B$98,2,TRUE),0)</f>
        <v>685</v>
      </c>
      <c r="F123" s="12">
        <f t="shared" si="2"/>
        <v>685</v>
      </c>
      <c r="G123" s="55">
        <v>74</v>
      </c>
      <c r="H123" s="13"/>
      <c r="I123" s="61">
        <f>9+28+10</f>
        <v>47</v>
      </c>
      <c r="J123" s="14">
        <f t="shared" si="4"/>
        <v>-27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264</v>
      </c>
      <c r="B124" s="8" t="s">
        <v>265</v>
      </c>
      <c r="C124" s="13">
        <v>5</v>
      </c>
      <c r="D124" s="11">
        <v>274</v>
      </c>
      <c r="E124" s="12">
        <f>IFERROR(VLOOKUP(G124,Sheet1!$A$1:$B$98,2,TRUE),0)</f>
        <v>274</v>
      </c>
      <c r="F124" s="12">
        <f t="shared" si="2"/>
        <v>0</v>
      </c>
      <c r="G124" s="55">
        <v>26</v>
      </c>
      <c r="H124" s="13"/>
      <c r="I124" s="61">
        <f>13+26+1</f>
        <v>40</v>
      </c>
      <c r="J124" s="14">
        <f t="shared" si="4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266</v>
      </c>
      <c r="B125" s="49" t="s">
        <v>267</v>
      </c>
      <c r="C125" s="13">
        <v>6</v>
      </c>
      <c r="D125" s="11">
        <v>594</v>
      </c>
      <c r="E125" s="12">
        <f>IFERROR(VLOOKUP(G125,Sheet1!$A$1:$B$98,2,TRUE),0)</f>
        <v>594</v>
      </c>
      <c r="F125" s="12">
        <f t="shared" si="2"/>
        <v>0</v>
      </c>
      <c r="G125" s="55">
        <v>64</v>
      </c>
      <c r="H125" s="13"/>
      <c r="I125" s="61">
        <f>61</f>
        <v>61</v>
      </c>
      <c r="J125" s="14">
        <f t="shared" si="4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35" t="s">
        <v>268</v>
      </c>
      <c r="B126" s="40" t="s">
        <v>269</v>
      </c>
      <c r="C126" s="10">
        <v>2</v>
      </c>
      <c r="D126" s="11">
        <v>1142</v>
      </c>
      <c r="E126" s="12">
        <f>IFERROR(VLOOKUP(G126,Sheet1!$A$1:$B$98,2,TRUE),0)</f>
        <v>1142</v>
      </c>
      <c r="F126" s="12">
        <f t="shared" si="2"/>
        <v>0</v>
      </c>
      <c r="G126" s="55">
        <v>125</v>
      </c>
      <c r="H126" s="13"/>
      <c r="I126" s="61">
        <f>142</f>
        <v>142</v>
      </c>
      <c r="J126" s="14">
        <f t="shared" si="4"/>
        <v>17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270</v>
      </c>
      <c r="B127" s="25" t="s">
        <v>271</v>
      </c>
      <c r="C127" s="13">
        <v>5</v>
      </c>
      <c r="D127" s="11"/>
      <c r="E127" s="12">
        <f>IFERROR(VLOOKUP(G127,Sheet1!$A$1:$B$98,2,TRUE),0)</f>
        <v>0</v>
      </c>
      <c r="F127" s="12">
        <f t="shared" si="2"/>
        <v>0</v>
      </c>
      <c r="G127" s="55"/>
      <c r="H127" s="13"/>
      <c r="I127" s="61">
        <f>46+6+2+2+4+1+2</f>
        <v>63</v>
      </c>
      <c r="J127" s="14">
        <f t="shared" si="4"/>
        <v>63</v>
      </c>
      <c r="K127" s="7"/>
      <c r="L127" s="7"/>
      <c r="M127" s="7"/>
      <c r="N127" s="7"/>
      <c r="O127" s="51" t="s">
        <v>91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272</v>
      </c>
      <c r="B128" s="8" t="s">
        <v>273</v>
      </c>
      <c r="C128" s="13">
        <v>6</v>
      </c>
      <c r="D128" s="11">
        <v>274</v>
      </c>
      <c r="E128" s="12">
        <f>IFERROR(VLOOKUP(G128,Sheet1!$A$1:$B$98,2,TRUE),0)</f>
        <v>274</v>
      </c>
      <c r="F128" s="12">
        <f t="shared" si="2"/>
        <v>0</v>
      </c>
      <c r="G128" s="55">
        <v>27</v>
      </c>
      <c r="H128" s="13"/>
      <c r="I128" s="61">
        <f>37+1</f>
        <v>38</v>
      </c>
      <c r="J128" s="14">
        <f t="shared" si="4"/>
        <v>11</v>
      </c>
      <c r="K128" s="7"/>
      <c r="L128" s="7"/>
      <c r="M128" s="7">
        <v>38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274</v>
      </c>
      <c r="B129" s="9" t="s">
        <v>275</v>
      </c>
      <c r="C129" s="10">
        <v>4</v>
      </c>
      <c r="D129" s="11">
        <v>228</v>
      </c>
      <c r="E129" s="12">
        <f>IFERROR(VLOOKUP(G129,Sheet1!$A$1:$B$98,2,TRUE),0)</f>
        <v>228</v>
      </c>
      <c r="F129" s="12">
        <f t="shared" si="2"/>
        <v>0</v>
      </c>
      <c r="G129" s="55">
        <v>21</v>
      </c>
      <c r="H129" s="13"/>
      <c r="I129" s="61">
        <f>39</f>
        <v>39</v>
      </c>
      <c r="J129" s="14">
        <f t="shared" si="4"/>
        <v>18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/>
      <c r="B130" s="26" t="s">
        <v>276</v>
      </c>
      <c r="C130" s="27"/>
      <c r="D130" s="11">
        <f t="shared" ref="D130:I130" si="8">SUM(D2:D129)</f>
        <v>55695</v>
      </c>
      <c r="E130" s="11">
        <f t="shared" si="8"/>
        <v>81542</v>
      </c>
      <c r="F130" s="11">
        <f t="shared" si="8"/>
        <v>25847</v>
      </c>
      <c r="G130" s="59">
        <f t="shared" si="8"/>
        <v>8762</v>
      </c>
      <c r="H130" s="32">
        <f t="shared" si="8"/>
        <v>0</v>
      </c>
      <c r="I130" s="61">
        <f t="shared" si="8"/>
        <v>9278</v>
      </c>
      <c r="J130" s="14">
        <f t="shared" si="4"/>
        <v>516</v>
      </c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4.75" customHeight="1">
      <c r="A131" s="7"/>
      <c r="B131" s="7"/>
      <c r="C131" s="28"/>
      <c r="D131" s="7"/>
      <c r="E131" s="7"/>
      <c r="F131" s="29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customHeight="1">
      <c r="A132" s="25" t="s">
        <v>277</v>
      </c>
      <c r="B132" s="33">
        <v>45762</v>
      </c>
      <c r="C132" s="28" t="s">
        <v>278</v>
      </c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31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Props1.xml><?xml version="1.0" encoding="utf-8"?>
<ds:datastoreItem xmlns:ds="http://schemas.openxmlformats.org/officeDocument/2006/customXml" ds:itemID="{90F249EA-A00C-49F3-93BA-0A955E33D2F5}"/>
</file>

<file path=customXml/itemProps2.xml><?xml version="1.0" encoding="utf-8"?>
<ds:datastoreItem xmlns:ds="http://schemas.openxmlformats.org/officeDocument/2006/customXml" ds:itemID="{E53C75A3-1155-40CC-9C2B-41AE3860730E}"/>
</file>

<file path=customXml/itemProps3.xml><?xml version="1.0" encoding="utf-8"?>
<ds:datastoreItem xmlns:ds="http://schemas.openxmlformats.org/officeDocument/2006/customXml" ds:itemID="{AA881712-3497-46E2-B5D5-9386D90BBB12}"/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/>
  <cp:revision/>
  <dcterms:created xsi:type="dcterms:W3CDTF">1997-09-24T19:23:04Z</dcterms:created>
  <dcterms:modified xsi:type="dcterms:W3CDTF">2025-04-15T18:03:51Z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