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idel_msu_edu/Documents/FFA Shared Drive/Membership/24-25/"/>
    </mc:Choice>
  </mc:AlternateContent>
  <xr:revisionPtr revIDLastSave="0" documentId="8_{21EDF68F-05A3-46F0-A4B3-C23FB5C4A0A7}" xr6:coauthVersionLast="47" xr6:coauthVersionMax="47" xr10:uidLastSave="{00000000-0000-0000-0000-000000000000}"/>
  <bookViews>
    <workbookView xWindow="28680" yWindow="-120" windowWidth="29040" windowHeight="17520" firstSheet="2" activeTab="2" xr2:uid="{00000000-000D-0000-FFFF-FFFF00000000}"/>
  </bookViews>
  <sheets>
    <sheet name="Chart1" sheetId="3" r:id="rId1"/>
    <sheet name="Chart2" sheetId="4" r:id="rId2"/>
    <sheet name="Michigan FFA Chapter Roster" sheetId="1" r:id="rId3"/>
    <sheet name="Sheet1" sheetId="2" r:id="rId4"/>
  </sheets>
  <definedNames>
    <definedName name="_Table1_In1">#REF!</definedName>
    <definedName name="_Table1_Out">'Michigan FFA Chapter Roster'!$D$1</definedName>
    <definedName name="Print_Area_MI" localSheetId="2">'Michigan FFA Chapter Roster'!$B$1:$J$130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59J4pPJYHAK5LCc0EEIAPbZpjZQ=="/>
    </ext>
  </extLst>
</workbook>
</file>

<file path=xl/calcChain.xml><?xml version="1.0" encoding="utf-8"?>
<calcChain xmlns="http://schemas.openxmlformats.org/spreadsheetml/2006/main">
  <c r="I111" i="1" l="1"/>
  <c r="I101" i="1"/>
  <c r="I100" i="1"/>
  <c r="I64" i="1"/>
  <c r="I37" i="1"/>
  <c r="I21" i="1"/>
  <c r="I127" i="1"/>
  <c r="I102" i="1"/>
  <c r="I84" i="1"/>
  <c r="I75" i="1"/>
  <c r="I73" i="1"/>
  <c r="I53" i="1"/>
  <c r="I10" i="1"/>
  <c r="I93" i="1"/>
  <c r="I66" i="1"/>
  <c r="I38" i="1"/>
  <c r="I31" i="1"/>
  <c r="I104" i="1"/>
  <c r="I87" i="1"/>
  <c r="I72" i="1"/>
  <c r="I16" i="1"/>
  <c r="I14" i="1"/>
  <c r="I117" i="1"/>
  <c r="I99" i="1"/>
  <c r="I67" i="1"/>
  <c r="I36" i="1"/>
  <c r="I35" i="1"/>
  <c r="I24" i="1"/>
  <c r="I9" i="1"/>
  <c r="I27" i="1"/>
  <c r="I123" i="1"/>
  <c r="I45" i="1"/>
  <c r="I44" i="1"/>
  <c r="I30" i="1"/>
  <c r="I118" i="1"/>
  <c r="I116" i="1"/>
  <c r="I94" i="1"/>
  <c r="I81" i="1"/>
  <c r="I29" i="1"/>
  <c r="I11" i="1"/>
  <c r="I106" i="1"/>
  <c r="I8" i="1"/>
  <c r="I18" i="1"/>
  <c r="I7" i="1" l="1"/>
  <c r="I119" i="1" l="1"/>
  <c r="I83" i="1"/>
  <c r="I58" i="1"/>
  <c r="I28" i="1" l="1"/>
  <c r="I105" i="1" l="1"/>
  <c r="I77" i="1"/>
  <c r="I51" i="1"/>
  <c r="I41" i="1"/>
  <c r="I128" i="1"/>
  <c r="I122" i="1"/>
  <c r="I112" i="1"/>
  <c r="I74" i="1"/>
  <c r="I55" i="1"/>
  <c r="I26" i="1"/>
  <c r="I25" i="1"/>
  <c r="I109" i="1"/>
  <c r="I48" i="1"/>
  <c r="I92" i="1" l="1"/>
  <c r="I70" i="1"/>
  <c r="I50" i="1"/>
  <c r="I33" i="1"/>
  <c r="I32" i="1"/>
  <c r="I20" i="1"/>
  <c r="I17" i="1"/>
  <c r="I4" i="1"/>
  <c r="I71" i="1" l="1"/>
  <c r="I61" i="1" l="1"/>
  <c r="I120" i="1" l="1"/>
  <c r="I80" i="1"/>
  <c r="I79" i="1"/>
  <c r="I78" i="1"/>
  <c r="I54" i="1"/>
  <c r="I34" i="1"/>
  <c r="I22" i="1"/>
  <c r="I5" i="1"/>
  <c r="I91" i="1"/>
  <c r="I90" i="1"/>
  <c r="I69" i="1"/>
  <c r="I113" i="1"/>
  <c r="I52" i="1"/>
  <c r="I107" i="1"/>
  <c r="I68" i="1"/>
  <c r="I23" i="1"/>
  <c r="I42" i="1"/>
  <c r="I126" i="1" l="1"/>
  <c r="I108" i="1"/>
  <c r="I57" i="1"/>
  <c r="I56" i="1"/>
  <c r="I47" i="1"/>
  <c r="I19" i="1"/>
  <c r="I62" i="1" l="1"/>
  <c r="E103" i="1" l="1"/>
  <c r="F103" i="1" s="1"/>
  <c r="E40" i="1"/>
  <c r="F40" i="1" s="1"/>
  <c r="E115" i="1"/>
  <c r="E39" i="1"/>
  <c r="F39" i="1" s="1"/>
  <c r="E36" i="1"/>
  <c r="E101" i="1"/>
  <c r="F101" i="1" s="1"/>
  <c r="E111" i="1"/>
  <c r="F111" i="1" s="1"/>
  <c r="J127" i="1"/>
  <c r="E127" i="1"/>
  <c r="F127" i="1" s="1"/>
  <c r="B99" i="2"/>
  <c r="I129" i="1" l="1"/>
  <c r="I125" i="1"/>
  <c r="I89" i="1"/>
  <c r="I82" i="1"/>
  <c r="I76" i="1"/>
  <c r="I49" i="1"/>
  <c r="I12" i="1"/>
  <c r="I60" i="1" l="1"/>
  <c r="I59" i="1"/>
  <c r="I2" i="1" l="1"/>
  <c r="I6" i="1" l="1"/>
  <c r="I95" i="1" l="1"/>
  <c r="I114" i="1" l="1"/>
  <c r="I46" i="1"/>
  <c r="I86" i="1" l="1"/>
  <c r="I85" i="1"/>
  <c r="I63" i="1"/>
  <c r="I124" i="1" l="1"/>
  <c r="I39" i="1" l="1"/>
  <c r="J39" i="1" s="1"/>
  <c r="I3" i="1" l="1"/>
  <c r="I110" i="1" l="1"/>
  <c r="I88" i="1"/>
  <c r="I65" i="1"/>
  <c r="I15" i="1"/>
  <c r="I130" i="1" l="1"/>
  <c r="F115" i="1"/>
  <c r="D130" i="1"/>
  <c r="E29" i="1"/>
  <c r="J75" i="1"/>
  <c r="J55" i="1"/>
  <c r="J60" i="1"/>
  <c r="E68" i="1"/>
  <c r="E23" i="1"/>
  <c r="E75" i="1"/>
  <c r="F75" i="1" s="1"/>
  <c r="E80" i="1"/>
  <c r="F80" i="1" s="1"/>
  <c r="E85" i="1"/>
  <c r="J115" i="1"/>
  <c r="J80" i="1"/>
  <c r="E129" i="1"/>
  <c r="E128" i="1"/>
  <c r="E126" i="1"/>
  <c r="E125" i="1"/>
  <c r="E124" i="1"/>
  <c r="E123" i="1"/>
  <c r="E122" i="1"/>
  <c r="E121" i="1"/>
  <c r="E120" i="1"/>
  <c r="E119" i="1"/>
  <c r="E118" i="1"/>
  <c r="E117" i="1"/>
  <c r="E116" i="1"/>
  <c r="E114" i="1"/>
  <c r="F114" i="1" s="1"/>
  <c r="E113" i="1"/>
  <c r="E112" i="1"/>
  <c r="E110" i="1"/>
  <c r="E109" i="1"/>
  <c r="E108" i="1"/>
  <c r="E107" i="1"/>
  <c r="E106" i="1"/>
  <c r="E105" i="1"/>
  <c r="E104" i="1"/>
  <c r="E102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4" i="1"/>
  <c r="E83" i="1"/>
  <c r="E82" i="1"/>
  <c r="E81" i="1"/>
  <c r="E79" i="1"/>
  <c r="E78" i="1"/>
  <c r="E77" i="1"/>
  <c r="E76" i="1"/>
  <c r="E74" i="1"/>
  <c r="E73" i="1"/>
  <c r="E72" i="1"/>
  <c r="F72" i="1" s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F55" i="1" s="1"/>
  <c r="E54" i="1"/>
  <c r="E53" i="1"/>
  <c r="E52" i="1"/>
  <c r="E51" i="1"/>
  <c r="E50" i="1"/>
  <c r="E49" i="1"/>
  <c r="E48" i="1"/>
  <c r="E47" i="1"/>
  <c r="E46" i="1"/>
  <c r="F46" i="1" s="1"/>
  <c r="E45" i="1"/>
  <c r="E44" i="1"/>
  <c r="E42" i="1"/>
  <c r="E41" i="1"/>
  <c r="E38" i="1"/>
  <c r="E37" i="1"/>
  <c r="E35" i="1"/>
  <c r="E34" i="1"/>
  <c r="E33" i="1"/>
  <c r="E32" i="1"/>
  <c r="E31" i="1"/>
  <c r="E30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30" i="1" l="1"/>
  <c r="J30" i="1"/>
  <c r="J68" i="1"/>
  <c r="J52" i="1"/>
  <c r="J72" i="1"/>
  <c r="J114" i="1"/>
  <c r="J46" i="1"/>
  <c r="H130" i="1"/>
  <c r="J6" i="1"/>
  <c r="J107" i="1"/>
  <c r="F113" i="1"/>
  <c r="F12" i="1"/>
  <c r="J59" i="1"/>
  <c r="F124" i="1"/>
  <c r="J90" i="1" l="1"/>
  <c r="J98" i="1"/>
  <c r="J118" i="1"/>
  <c r="J102" i="1"/>
  <c r="J112" i="1"/>
  <c r="J42" i="1"/>
  <c r="J77" i="1"/>
  <c r="J67" i="1"/>
  <c r="J122" i="1"/>
  <c r="J13" i="1"/>
  <c r="J47" i="1"/>
  <c r="J9" i="1"/>
  <c r="J24" i="1"/>
  <c r="J84" i="1"/>
  <c r="J94" i="1"/>
  <c r="J32" i="1"/>
  <c r="J93" i="1"/>
  <c r="J51" i="1"/>
  <c r="J121" i="1"/>
  <c r="J2" i="1"/>
  <c r="J126" i="1"/>
  <c r="J82" i="1"/>
  <c r="J17" i="1"/>
  <c r="J85" i="1"/>
  <c r="J86" i="1"/>
  <c r="J33" i="1"/>
  <c r="J104" i="1"/>
  <c r="J37" i="1"/>
  <c r="J10" i="1"/>
  <c r="J41" i="1"/>
  <c r="J76" i="1"/>
  <c r="J11" i="1"/>
  <c r="J110" i="1"/>
  <c r="J7" i="1"/>
  <c r="J14" i="1"/>
  <c r="J22" i="1"/>
  <c r="J38" i="1"/>
  <c r="J48" i="1"/>
  <c r="J57" i="1"/>
  <c r="J65" i="1"/>
  <c r="J73" i="1"/>
  <c r="J83" i="1"/>
  <c r="J91" i="1"/>
  <c r="J99" i="1"/>
  <c r="J108" i="1"/>
  <c r="J119" i="1"/>
  <c r="J128" i="1"/>
  <c r="J16" i="1"/>
  <c r="J100" i="1"/>
  <c r="J21" i="1"/>
  <c r="J29" i="1"/>
  <c r="J56" i="1"/>
  <c r="J64" i="1"/>
  <c r="J71" i="1"/>
  <c r="J8" i="1"/>
  <c r="J15" i="1"/>
  <c r="J23" i="1"/>
  <c r="J31" i="1"/>
  <c r="J49" i="1"/>
  <c r="J58" i="1"/>
  <c r="J66" i="1"/>
  <c r="J74" i="1"/>
  <c r="J92" i="1"/>
  <c r="J109" i="1"/>
  <c r="J120" i="1"/>
  <c r="J25" i="1"/>
  <c r="J18" i="1"/>
  <c r="J26" i="1"/>
  <c r="J34" i="1"/>
  <c r="J43" i="1"/>
  <c r="J61" i="1"/>
  <c r="J87" i="1"/>
  <c r="J95" i="1"/>
  <c r="J113" i="1"/>
  <c r="J123" i="1"/>
  <c r="J4" i="1"/>
  <c r="J19" i="1"/>
  <c r="J27" i="1"/>
  <c r="J35" i="1"/>
  <c r="J44" i="1"/>
  <c r="J53" i="1"/>
  <c r="J62" i="1"/>
  <c r="J69" i="1"/>
  <c r="J79" i="1"/>
  <c r="J88" i="1"/>
  <c r="J96" i="1"/>
  <c r="J116" i="1"/>
  <c r="J124" i="1"/>
  <c r="J5" i="1"/>
  <c r="J12" i="1"/>
  <c r="J20" i="1"/>
  <c r="J28" i="1"/>
  <c r="J36" i="1"/>
  <c r="J45" i="1"/>
  <c r="J54" i="1"/>
  <c r="J63" i="1"/>
  <c r="J70" i="1"/>
  <c r="J81" i="1"/>
  <c r="J97" i="1"/>
  <c r="J106" i="1"/>
  <c r="J117" i="1"/>
  <c r="J129" i="1" l="1"/>
  <c r="F50" i="1"/>
  <c r="J50" i="1"/>
  <c r="J125" i="1"/>
  <c r="J89" i="1"/>
  <c r="J78" i="1"/>
  <c r="J3" i="1"/>
  <c r="J105" i="1" l="1"/>
  <c r="G130" i="1"/>
  <c r="J130" i="1" s="1"/>
  <c r="F14" i="1" l="1"/>
  <c r="F13" i="1" l="1"/>
  <c r="F7" i="1"/>
  <c r="F8" i="1" l="1"/>
  <c r="F6" i="1"/>
  <c r="F129" i="1"/>
  <c r="F128" i="1"/>
  <c r="F126" i="1"/>
  <c r="F125" i="1"/>
  <c r="F123" i="1"/>
  <c r="F122" i="1"/>
  <c r="F121" i="1"/>
  <c r="F120" i="1"/>
  <c r="F119" i="1"/>
  <c r="F118" i="1"/>
  <c r="F117" i="1"/>
  <c r="F116" i="1"/>
  <c r="F86" i="1"/>
  <c r="F85" i="1"/>
  <c r="F112" i="1"/>
  <c r="F110" i="1"/>
  <c r="F109" i="1"/>
  <c r="F108" i="1"/>
  <c r="F107" i="1"/>
  <c r="F106" i="1"/>
  <c r="F105" i="1"/>
  <c r="F104" i="1"/>
  <c r="F102" i="1"/>
  <c r="F100" i="1"/>
  <c r="F99" i="1"/>
  <c r="F98" i="1"/>
  <c r="F97" i="1"/>
  <c r="F96" i="1"/>
  <c r="F94" i="1"/>
  <c r="F95" i="1"/>
  <c r="F93" i="1"/>
  <c r="F92" i="1"/>
  <c r="F91" i="1"/>
  <c r="F90" i="1"/>
  <c r="F89" i="1"/>
  <c r="F88" i="1"/>
  <c r="F87" i="1"/>
  <c r="F84" i="1"/>
  <c r="F83" i="1"/>
  <c r="F82" i="1"/>
  <c r="F81" i="1"/>
  <c r="F79" i="1"/>
  <c r="F78" i="1"/>
  <c r="F77" i="1"/>
  <c r="F76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49" i="1"/>
  <c r="F48" i="1"/>
  <c r="F47" i="1"/>
  <c r="F45" i="1"/>
  <c r="F44" i="1"/>
  <c r="F42" i="1"/>
  <c r="F41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1" i="1"/>
  <c r="F10" i="1"/>
  <c r="F9" i="1"/>
  <c r="F5" i="1"/>
  <c r="F4" i="1"/>
  <c r="F3" i="1"/>
  <c r="F2" i="1"/>
  <c r="F130" i="1" l="1"/>
</calcChain>
</file>

<file path=xl/sharedStrings.xml><?xml version="1.0" encoding="utf-8"?>
<sst xmlns="http://schemas.openxmlformats.org/spreadsheetml/2006/main" count="320" uniqueCount="279">
  <si>
    <t>Chpt. #</t>
  </si>
  <si>
    <t>Chapter</t>
  </si>
  <si>
    <t>Region</t>
  </si>
  <si>
    <t>Payment Received</t>
  </si>
  <si>
    <t>Total Amt Due</t>
  </si>
  <si>
    <t>Balance Due</t>
  </si>
  <si>
    <t>1yr. Mem      23-24</t>
  </si>
  <si>
    <t>Prepaid</t>
  </si>
  <si>
    <t>1yr. Mem 24-25</t>
  </si>
  <si>
    <t>Gains/ Loss</t>
  </si>
  <si>
    <t>Affiliate #s for billing</t>
  </si>
  <si>
    <t>Affiliate notes</t>
  </si>
  <si>
    <t>Rosters invoiced 2/8/15</t>
  </si>
  <si>
    <t>Rosters submitted</t>
  </si>
  <si>
    <t>MI0421</t>
  </si>
  <si>
    <t>Airport</t>
  </si>
  <si>
    <t>MI0414</t>
  </si>
  <si>
    <t>Alanson</t>
  </si>
  <si>
    <t>MI0110</t>
  </si>
  <si>
    <t>Alcona</t>
  </si>
  <si>
    <t>MI0061</t>
  </si>
  <si>
    <t>Allegan</t>
  </si>
  <si>
    <t>x</t>
  </si>
  <si>
    <t>MI0002</t>
  </si>
  <si>
    <t>Alma</t>
  </si>
  <si>
    <t>MI0004</t>
  </si>
  <si>
    <t>Alpena</t>
  </si>
  <si>
    <t>MI0433</t>
  </si>
  <si>
    <t>Ashley</t>
  </si>
  <si>
    <t>MI0016</t>
  </si>
  <si>
    <t>Bad Axe</t>
  </si>
  <si>
    <t>MI0108</t>
  </si>
  <si>
    <t>Bay Arenac</t>
  </si>
  <si>
    <t>MI0011</t>
  </si>
  <si>
    <t>Belding</t>
  </si>
  <si>
    <t>MI0012</t>
  </si>
  <si>
    <t>Bellevue</t>
  </si>
  <si>
    <t>MI0014</t>
  </si>
  <si>
    <t>Benzie Central</t>
  </si>
  <si>
    <t>MI0017</t>
  </si>
  <si>
    <t>Blissfield</t>
  </si>
  <si>
    <t>MI0055</t>
  </si>
  <si>
    <t>Bloomfield Hills/Bowers School Farm</t>
  </si>
  <si>
    <t>MI0215</t>
  </si>
  <si>
    <t xml:space="preserve">Branch ACC </t>
  </si>
  <si>
    <t>MI0018</t>
  </si>
  <si>
    <t>Breckenridge</t>
  </si>
  <si>
    <t>MI0024</t>
  </si>
  <si>
    <t>Byron</t>
  </si>
  <si>
    <t>MI0025</t>
  </si>
  <si>
    <t>Caledonia</t>
  </si>
  <si>
    <t>MI0378</t>
  </si>
  <si>
    <t>Calhoun Area Career Center</t>
  </si>
  <si>
    <t>MI0026</t>
  </si>
  <si>
    <t>Camden Frontier</t>
  </si>
  <si>
    <t>MI0027</t>
  </si>
  <si>
    <t>Capac</t>
  </si>
  <si>
    <t>MI0400</t>
  </si>
  <si>
    <t>Careerline AM</t>
  </si>
  <si>
    <t>MI0401</t>
  </si>
  <si>
    <t>Careerline PM</t>
  </si>
  <si>
    <t>MI0424</t>
  </si>
  <si>
    <t>Carney Nadeau</t>
  </si>
  <si>
    <t>MI0404</t>
  </si>
  <si>
    <t>Cass City</t>
  </si>
  <si>
    <t>MI0033</t>
  </si>
  <si>
    <t>Cassopolis</t>
  </si>
  <si>
    <t>MI0034</t>
  </si>
  <si>
    <t>Cedar Springs</t>
  </si>
  <si>
    <t>MI0035</t>
  </si>
  <si>
    <t>Centreville</t>
  </si>
  <si>
    <t>MI0036</t>
  </si>
  <si>
    <t>Charlotte</t>
  </si>
  <si>
    <t>MI0040</t>
  </si>
  <si>
    <r>
      <rPr>
        <sz val="8"/>
        <rFont val="Times New Roman"/>
        <family val="1"/>
      </rPr>
      <t>Chesaning</t>
    </r>
    <r>
      <rPr>
        <sz val="8"/>
        <color rgb="FFFF0000"/>
        <rFont val="Times New Roman"/>
        <family val="1"/>
      </rPr>
      <t xml:space="preserve"> </t>
    </r>
  </si>
  <si>
    <t>MI0166</t>
  </si>
  <si>
    <t>Chippewa Hills</t>
  </si>
  <si>
    <t>MI0432</t>
  </si>
  <si>
    <t>Clare-Gladwin</t>
  </si>
  <si>
    <t>MI0412</t>
  </si>
  <si>
    <t>Coleman</t>
  </si>
  <si>
    <t>MI0045</t>
  </si>
  <si>
    <t>Coopersville</t>
  </si>
  <si>
    <t>MI0046</t>
  </si>
  <si>
    <t>Corunna</t>
  </si>
  <si>
    <t>MI0365</t>
  </si>
  <si>
    <t>Countryside Academy</t>
  </si>
  <si>
    <t>MI0049</t>
  </si>
  <si>
    <t>Dansville</t>
  </si>
  <si>
    <t>MI0428</t>
  </si>
  <si>
    <t>Delton Kellogg</t>
  </si>
  <si>
    <t>bill in spring</t>
  </si>
  <si>
    <t>MI0088</t>
  </si>
  <si>
    <t>Detroit - Randolph Tech Center</t>
  </si>
  <si>
    <t>MI0047</t>
  </si>
  <si>
    <t>Dundee</t>
  </si>
  <si>
    <t>MI0056</t>
  </si>
  <si>
    <t>Durand</t>
  </si>
  <si>
    <t>MI0419</t>
  </si>
  <si>
    <t>Eaton Rapids</t>
  </si>
  <si>
    <t>closed 24-25</t>
  </si>
  <si>
    <t>MI0408</t>
  </si>
  <si>
    <t>Eaton RESA/Potter Park Zoo AM</t>
  </si>
  <si>
    <t>MI0422</t>
  </si>
  <si>
    <t>Eaton RESA/Potter Park Zoo PM</t>
  </si>
  <si>
    <t>MI0407</t>
  </si>
  <si>
    <t>Ellsworth</t>
  </si>
  <si>
    <t>MI0430</t>
  </si>
  <si>
    <t>Fowlerville</t>
  </si>
  <si>
    <t>MI0069</t>
  </si>
  <si>
    <t>Fremont</t>
  </si>
  <si>
    <t>MI0086</t>
  </si>
  <si>
    <t>Genesee Career Institute I</t>
  </si>
  <si>
    <t>MI0429</t>
  </si>
  <si>
    <t>Gogebic-Ontonagon</t>
  </si>
  <si>
    <t>MI0077</t>
  </si>
  <si>
    <t>Harbor Beach</t>
  </si>
  <si>
    <t>MI0082</t>
  </si>
  <si>
    <t>Hastings</t>
  </si>
  <si>
    <t>MI0089</t>
  </si>
  <si>
    <t>Homer</t>
  </si>
  <si>
    <t>MI0090</t>
  </si>
  <si>
    <t>Hopkins</t>
  </si>
  <si>
    <t>MI0438</t>
  </si>
  <si>
    <t>Ida</t>
  </si>
  <si>
    <t>MI0096</t>
  </si>
  <si>
    <t>Ionia AM</t>
  </si>
  <si>
    <t>MI0405</t>
  </si>
  <si>
    <t>Ionia PM</t>
  </si>
  <si>
    <t>MI0097</t>
  </si>
  <si>
    <t>Ithaca</t>
  </si>
  <si>
    <t>MI0063</t>
  </si>
  <si>
    <t>Jackson CC AM</t>
  </si>
  <si>
    <t>MI0065</t>
  </si>
  <si>
    <t>Jackson CC PM</t>
  </si>
  <si>
    <t>MI0100</t>
  </si>
  <si>
    <t>Jonesville</t>
  </si>
  <si>
    <t>MI0416</t>
  </si>
  <si>
    <t>Kalamazoo RESA South</t>
  </si>
  <si>
    <t>MI0383</t>
  </si>
  <si>
    <t>Kent Career Tech Ctr</t>
  </si>
  <si>
    <t>MI0105</t>
  </si>
  <si>
    <t>Laingsburg</t>
  </si>
  <si>
    <t>MI0155</t>
  </si>
  <si>
    <t>Laker</t>
  </si>
  <si>
    <t>MI0059</t>
  </si>
  <si>
    <t xml:space="preserve">Lapeer </t>
  </si>
  <si>
    <t>dropped 18 duplicates</t>
  </si>
  <si>
    <t>MI0019</t>
  </si>
  <si>
    <t>Lenawee AM</t>
  </si>
  <si>
    <t>MI0028</t>
  </si>
  <si>
    <t>Lenawee PM</t>
  </si>
  <si>
    <t>MI0112</t>
  </si>
  <si>
    <t>Lowell</t>
  </si>
  <si>
    <t>MI0114</t>
  </si>
  <si>
    <t>Manchester</t>
  </si>
  <si>
    <t>MI0135</t>
  </si>
  <si>
    <t>Maple Valley</t>
  </si>
  <si>
    <t>MI0436</t>
  </si>
  <si>
    <t>Marcellus</t>
  </si>
  <si>
    <t>MI0117</t>
  </si>
  <si>
    <t>Marshall</t>
  </si>
  <si>
    <t>MI0118</t>
  </si>
  <si>
    <t>Mason</t>
  </si>
  <si>
    <t>MI0440</t>
  </si>
  <si>
    <t>Mecosta-Osceola CC</t>
  </si>
  <si>
    <t>MI0127</t>
  </si>
  <si>
    <t>Milan</t>
  </si>
  <si>
    <t>MI0130</t>
  </si>
  <si>
    <t>Montague</t>
  </si>
  <si>
    <t>MI0390</t>
  </si>
  <si>
    <t>Montcalm Area Career</t>
  </si>
  <si>
    <t>MI0387</t>
  </si>
  <si>
    <t>Muskegon Area CTC AM</t>
  </si>
  <si>
    <t>MI0439</t>
  </si>
  <si>
    <t>Muskegon Area CTC PM</t>
  </si>
  <si>
    <t>MI0001</t>
  </si>
  <si>
    <t>New Lothrop</t>
  </si>
  <si>
    <t>MI0409</t>
  </si>
  <si>
    <t>Newaygo County Tech Center</t>
  </si>
  <si>
    <t>MI0425</t>
  </si>
  <si>
    <t>Niles</t>
  </si>
  <si>
    <t>MI0138</t>
  </si>
  <si>
    <t>North Adams-Jerome</t>
  </si>
  <si>
    <t>MI0057</t>
  </si>
  <si>
    <t>North Ed AM</t>
  </si>
  <si>
    <t>MI0410</t>
  </si>
  <si>
    <t>North Ed PM</t>
  </si>
  <si>
    <t>MI0102</t>
  </si>
  <si>
    <t>North Huron</t>
  </si>
  <si>
    <t>MI0079</t>
  </si>
  <si>
    <t>Oakland NW AM</t>
  </si>
  <si>
    <t>MI0081</t>
  </si>
  <si>
    <t>Oakland NW PM</t>
  </si>
  <si>
    <t>MI0375</t>
  </si>
  <si>
    <t>Oakland SW AM</t>
  </si>
  <si>
    <t>MI0398</t>
  </si>
  <si>
    <t>Oakland SW PM</t>
  </si>
  <si>
    <t>MI0206</t>
  </si>
  <si>
    <t>Ogemaw Heights</t>
  </si>
  <si>
    <t>MI0141</t>
  </si>
  <si>
    <t>Olivet</t>
  </si>
  <si>
    <t>MI0146</t>
  </si>
  <si>
    <t>Ovid-Elsie</t>
  </si>
  <si>
    <t>MI0147</t>
  </si>
  <si>
    <t>Owosso</t>
  </si>
  <si>
    <t>MI0195</t>
  </si>
  <si>
    <t>Pankow</t>
  </si>
  <si>
    <t>MI0196</t>
  </si>
  <si>
    <t>Pankow II</t>
  </si>
  <si>
    <t>MI0197</t>
  </si>
  <si>
    <t>Pankow III</t>
  </si>
  <si>
    <t>MI0151</t>
  </si>
  <si>
    <t>Perry</t>
  </si>
  <si>
    <t>MI0162</t>
  </si>
  <si>
    <t>Ravenna</t>
  </si>
  <si>
    <t>dropped 4 - moved</t>
  </si>
  <si>
    <t>MI0443</t>
  </si>
  <si>
    <t>Reese</t>
  </si>
  <si>
    <t>MI0094</t>
  </si>
  <si>
    <t>Roosevelt</t>
  </si>
  <si>
    <t>MI0441</t>
  </si>
  <si>
    <t>Rudyard</t>
  </si>
  <si>
    <t>MI0377</t>
  </si>
  <si>
    <t>Saginaw</t>
  </si>
  <si>
    <t>MI0174</t>
  </si>
  <si>
    <t>Saline</t>
  </si>
  <si>
    <t>MI0175</t>
  </si>
  <si>
    <t>Sand Creek</t>
  </si>
  <si>
    <t>MI0150</t>
  </si>
  <si>
    <t>Sanilac Career</t>
  </si>
  <si>
    <t>1 on 021015</t>
  </si>
  <si>
    <t>MI0177</t>
  </si>
  <si>
    <t>Saranac</t>
  </si>
  <si>
    <t>MI0186</t>
  </si>
  <si>
    <t>Springport</t>
  </si>
  <si>
    <t>MI0173</t>
  </si>
  <si>
    <t>St. Louis</t>
  </si>
  <si>
    <t>MI0442</t>
  </si>
  <si>
    <t xml:space="preserve">St. Johns </t>
  </si>
  <si>
    <t>MI0187</t>
  </si>
  <si>
    <t>Standish-Sterling</t>
  </si>
  <si>
    <t>MI0191</t>
  </si>
  <si>
    <t>Stockbridge</t>
  </si>
  <si>
    <t>MI0435</t>
  </si>
  <si>
    <t>Thornapple Kellogg</t>
  </si>
  <si>
    <t>MI0437</t>
  </si>
  <si>
    <t>Trenton</t>
  </si>
  <si>
    <t>MI0376</t>
  </si>
  <si>
    <t>Tuscola</t>
  </si>
  <si>
    <t>MI0417</t>
  </si>
  <si>
    <t>Tuscola PM</t>
  </si>
  <si>
    <t>MI0199</t>
  </si>
  <si>
    <t>Ubly</t>
  </si>
  <si>
    <t>MI0201</t>
  </si>
  <si>
    <t>Unionville-Sebewaing</t>
  </si>
  <si>
    <t>MI0008</t>
  </si>
  <si>
    <t>Van Buren Tech</t>
  </si>
  <si>
    <t>MI0005</t>
  </si>
  <si>
    <t>Vicksburg</t>
  </si>
  <si>
    <t>MI0204</t>
  </si>
  <si>
    <t>Waldron</t>
  </si>
  <si>
    <t>MI0205</t>
  </si>
  <si>
    <t>Webberville</t>
  </si>
  <si>
    <t>MI0427</t>
  </si>
  <si>
    <t>West Shore</t>
  </si>
  <si>
    <t>MI0220</t>
  </si>
  <si>
    <t>Wexford-Missaukee</t>
  </si>
  <si>
    <t>MI0423</t>
  </si>
  <si>
    <t>Whiteford</t>
  </si>
  <si>
    <t>MI0444</t>
  </si>
  <si>
    <t>Whitehall</t>
  </si>
  <si>
    <t>MI0207</t>
  </si>
  <si>
    <t>Whittemore-Prescott</t>
  </si>
  <si>
    <t>MI0426</t>
  </si>
  <si>
    <t>WTC BioSciences</t>
  </si>
  <si>
    <t>TOTALS</t>
  </si>
  <si>
    <t>UPDATED: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</si>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</sst>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164" formatCode="0.00_)"/>
    <numFmt numFmtId="165" formatCode="&quot;$&quot;#,##0.00"/>
    <numFmt numFmtId="166" formatCode="0_)"/>
    <numFmt numFmtId="167" formatCode="\$###0;\$###0"/>
    <numFmt numFmtId="168" formatCode="\$#,##0;\$#,##0"/>
    <numFmt numFmtId="169" formatCode="&quot;$&quot;#,##0"/>
    <numFmt numFmtId="170" formatCode="mm/dd/yy"/>
  </numFmts>
  <fonts count="15">
    <font>
      <sz val="12"/>
      <color rgb="FF000000"/>
      <name val="Arial mt"/>
    </font>
    <font>
      <b/>
      <sz val="8"/>
      <color theme="1"/>
      <name val="Times New Roman"/>
      <family val="1"/>
    </font>
    <font>
      <b/>
      <sz val="8"/>
      <color theme="1"/>
      <name val="Times"/>
    </font>
    <font>
      <sz val="12"/>
      <color theme="1"/>
      <name val="Arial mt"/>
    </font>
    <font>
      <sz val="8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FF0000"/>
      <name val="Times New Roman"/>
      <family val="1"/>
    </font>
    <font>
      <sz val="8"/>
      <color theme="1"/>
      <name val="Arial mt"/>
    </font>
    <font>
      <sz val="8"/>
      <name val="Times New Roman"/>
      <family val="1"/>
    </font>
    <font>
      <b/>
      <sz val="8"/>
      <color rgb="FF000000"/>
      <name val="Times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67">
    <xf numFmtId="164" fontId="0" fillId="0" borderId="0" xfId="0"/>
    <xf numFmtId="164" fontId="1" fillId="0" borderId="1" xfId="0" applyFont="1" applyBorder="1" applyAlignment="1">
      <alignment horizontal="center"/>
    </xf>
    <xf numFmtId="164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2" fillId="0" borderId="2" xfId="0" applyFont="1" applyBorder="1" applyAlignment="1">
      <alignment horizontal="left" vertical="top" wrapText="1"/>
    </xf>
    <xf numFmtId="164" fontId="2" fillId="0" borderId="3" xfId="0" applyFont="1" applyBorder="1" applyAlignment="1">
      <alignment horizontal="left" vertical="top" wrapText="1"/>
    </xf>
    <xf numFmtId="164" fontId="3" fillId="0" borderId="0" xfId="0" applyFont="1" applyAlignment="1">
      <alignment horizontal="left"/>
    </xf>
    <xf numFmtId="164" fontId="4" fillId="0" borderId="1" xfId="0" applyFont="1" applyBorder="1" applyAlignment="1">
      <alignment horizontal="left"/>
    </xf>
    <xf numFmtId="164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9" fontId="6" fillId="0" borderId="1" xfId="0" applyNumberFormat="1" applyFont="1" applyBorder="1"/>
    <xf numFmtId="1" fontId="4" fillId="0" borderId="0" xfId="0" applyNumberFormat="1" applyFont="1" applyAlignment="1">
      <alignment horizontal="left"/>
    </xf>
    <xf numFmtId="164" fontId="7" fillId="0" borderId="4" xfId="0" applyFont="1" applyBorder="1" applyAlignment="1">
      <alignment horizontal="left"/>
    </xf>
    <xf numFmtId="164" fontId="4" fillId="0" borderId="5" xfId="0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64" fontId="4" fillId="0" borderId="8" xfId="0" applyFont="1" applyBorder="1" applyAlignment="1">
      <alignment horizontal="left"/>
    </xf>
    <xf numFmtId="164" fontId="4" fillId="0" borderId="0" xfId="0" applyFont="1" applyAlignment="1">
      <alignment horizontal="left"/>
    </xf>
    <xf numFmtId="164" fontId="1" fillId="0" borderId="4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0" xfId="0" applyNumberFormat="1"/>
    <xf numFmtId="164" fontId="4" fillId="0" borderId="11" xfId="0" applyFont="1" applyBorder="1" applyAlignment="1">
      <alignment horizontal="left"/>
    </xf>
    <xf numFmtId="164" fontId="4" fillId="0" borderId="12" xfId="0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4" fontId="4" fillId="0" borderId="7" xfId="0" applyFont="1" applyBorder="1" applyAlignment="1">
      <alignment horizontal="left"/>
    </xf>
    <xf numFmtId="164" fontId="4" fillId="0" borderId="6" xfId="0" applyFont="1" applyBorder="1" applyAlignment="1">
      <alignment horizontal="left"/>
    </xf>
    <xf numFmtId="164" fontId="4" fillId="0" borderId="10" xfId="0" applyFont="1" applyBorder="1" applyAlignment="1">
      <alignment horizontal="left"/>
    </xf>
    <xf numFmtId="1" fontId="4" fillId="0" borderId="10" xfId="0" applyNumberFormat="1" applyFont="1" applyBorder="1" applyAlignment="1">
      <alignment horizontal="left"/>
    </xf>
    <xf numFmtId="164" fontId="4" fillId="0" borderId="15" xfId="0" applyFont="1" applyBorder="1" applyAlignment="1">
      <alignment horizontal="left"/>
    </xf>
    <xf numFmtId="1" fontId="4" fillId="0" borderId="15" xfId="0" applyNumberFormat="1" applyFont="1" applyBorder="1" applyAlignment="1">
      <alignment horizontal="left"/>
    </xf>
    <xf numFmtId="164" fontId="4" fillId="0" borderId="14" xfId="0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0" xfId="0" applyNumberFormat="1" applyFont="1" applyBorder="1" applyAlignment="1">
      <alignment horizontal="left"/>
    </xf>
    <xf numFmtId="1" fontId="4" fillId="0" borderId="11" xfId="0" applyNumberFormat="1" applyFont="1" applyBorder="1" applyAlignment="1">
      <alignment horizontal="left"/>
    </xf>
    <xf numFmtId="166" fontId="4" fillId="0" borderId="4" xfId="0" applyNumberFormat="1" applyFont="1" applyBorder="1" applyAlignment="1">
      <alignment horizontal="left"/>
    </xf>
    <xf numFmtId="164" fontId="4" fillId="0" borderId="9" xfId="0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164" fontId="12" fillId="0" borderId="0" xfId="0" applyFont="1" applyAlignment="1">
      <alignment horizontal="left"/>
    </xf>
    <xf numFmtId="0" fontId="13" fillId="0" borderId="0" xfId="0" applyNumberFormat="1" applyFont="1" applyAlignment="1">
      <alignment horizontal="left"/>
    </xf>
    <xf numFmtId="164" fontId="14" fillId="0" borderId="0" xfId="0" applyFont="1"/>
    <xf numFmtId="1" fontId="2" fillId="4" borderId="1" xfId="0" applyNumberFormat="1" applyFont="1" applyFill="1" applyBorder="1" applyAlignment="1">
      <alignment horizontal="center" vertical="top" wrapText="1"/>
    </xf>
    <xf numFmtId="1" fontId="11" fillId="4" borderId="1" xfId="0" applyNumberFormat="1" applyFont="1" applyFill="1" applyBorder="1" applyAlignment="1">
      <alignment horizontal="left"/>
    </xf>
    <xf numFmtId="1" fontId="11" fillId="4" borderId="13" xfId="0" applyNumberFormat="1" applyFont="1" applyFill="1" applyBorder="1" applyAlignment="1">
      <alignment horizontal="left"/>
    </xf>
    <xf numFmtId="1" fontId="11" fillId="4" borderId="10" xfId="0" applyNumberFormat="1" applyFont="1" applyFill="1" applyBorder="1" applyAlignment="1">
      <alignment horizontal="left"/>
    </xf>
    <xf numFmtId="1" fontId="11" fillId="4" borderId="14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left"/>
    </xf>
    <xf numFmtId="1" fontId="10" fillId="5" borderId="1" xfId="0" applyNumberFormat="1" applyFont="1" applyFill="1" applyBorder="1" applyAlignment="1">
      <alignment horizontal="center" vertical="top" wrapText="1"/>
    </xf>
    <xf numFmtId="1" fontId="11" fillId="5" borderId="1" xfId="0" applyNumberFormat="1" applyFont="1" applyFill="1" applyBorder="1" applyAlignment="1">
      <alignment horizontal="left"/>
    </xf>
    <xf numFmtId="1" fontId="11" fillId="5" borderId="13" xfId="0" applyNumberFormat="1" applyFont="1" applyFill="1" applyBorder="1" applyAlignment="1">
      <alignment horizontal="left"/>
    </xf>
    <xf numFmtId="1" fontId="11" fillId="5" borderId="10" xfId="0" applyNumberFormat="1" applyFont="1" applyFill="1" applyBorder="1" applyAlignment="1">
      <alignment horizontal="left"/>
    </xf>
    <xf numFmtId="1" fontId="11" fillId="5" borderId="14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164" fontId="4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'Michigan FFA Chapter Roster'!$A$128:$B$128</c:f>
              <c:strCache>
                <c:ptCount val="2"/>
                <c:pt idx="0">
                  <c:v>MI0207</c:v>
                </c:pt>
                <c:pt idx="1">
                  <c:v>Whittemore-Prescott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Roster'!$C$128:$O$128</c:f>
              <c:numCache>
                <c:formatCode>"$"#,##0.00</c:formatCode>
                <c:ptCount val="8"/>
                <c:pt idx="0" formatCode="0">
                  <c:v>6</c:v>
                </c:pt>
                <c:pt idx="1">
                  <c:v>274</c:v>
                </c:pt>
                <c:pt idx="2" formatCode="&quot;$&quot;#,##0.00_);\(&quot;$&quot;#,##0.00\)">
                  <c:v>274</c:v>
                </c:pt>
                <c:pt idx="3" formatCode="&quot;$&quot;#,##0.00_);\(&quot;$&quot;#,##0.00\)">
                  <c:v>0</c:v>
                </c:pt>
                <c:pt idx="4" formatCode="0">
                  <c:v>27</c:v>
                </c:pt>
                <c:pt idx="5" formatCode="0">
                  <c:v>38</c:v>
                </c:pt>
                <c:pt idx="6" formatCode="0_)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5-4C76-83A7-00424F7E1C9A}"/>
            </c:ext>
          </c:extLst>
        </c:ser>
        <c:ser>
          <c:idx val="1"/>
          <c:order val="1"/>
          <c:tx>
            <c:strRef>
              <c:f>'Michigan FFA Chapter Roster'!$A$129:$B$129</c:f>
              <c:strCache>
                <c:ptCount val="2"/>
                <c:pt idx="0">
                  <c:v>MI0426</c:v>
                </c:pt>
                <c:pt idx="1">
                  <c:v>WTC BioSciences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Roster'!$C$129:$O$129</c:f>
              <c:numCache>
                <c:formatCode>"$"#,##0.00</c:formatCode>
                <c:ptCount val="8"/>
                <c:pt idx="0" formatCode="0">
                  <c:v>4</c:v>
                </c:pt>
                <c:pt idx="1">
                  <c:v>228</c:v>
                </c:pt>
                <c:pt idx="2" formatCode="&quot;$&quot;#,##0.00_);\(&quot;$&quot;#,##0.00\)">
                  <c:v>228</c:v>
                </c:pt>
                <c:pt idx="3" formatCode="&quot;$&quot;#,##0.00_);\(&quot;$&quot;#,##0.00\)">
                  <c:v>0</c:v>
                </c:pt>
                <c:pt idx="4" formatCode="0">
                  <c:v>21</c:v>
                </c:pt>
                <c:pt idx="5" formatCode="0">
                  <c:v>39</c:v>
                </c:pt>
                <c:pt idx="6" formatCode="0_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5-4C76-83A7-00424F7E1C9A}"/>
            </c:ext>
          </c:extLst>
        </c:ser>
        <c:ser>
          <c:idx val="2"/>
          <c:order val="2"/>
          <c:tx>
            <c:strRef>
              <c:f>'Michigan FFA Chapter Roster'!$A$130:$B$130</c:f>
              <c:strCache>
                <c:ptCount val="2"/>
                <c:pt idx="0">
                  <c:v>MI0426</c:v>
                </c:pt>
                <c:pt idx="1">
                  <c:v>TOTALS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Roster'!$C$130:$O$130</c:f>
              <c:numCache>
                <c:formatCode>"$"#,##0.00</c:formatCode>
                <c:ptCount val="8"/>
                <c:pt idx="1">
                  <c:v>55695</c:v>
                </c:pt>
                <c:pt idx="2">
                  <c:v>81542</c:v>
                </c:pt>
                <c:pt idx="3">
                  <c:v>25847</c:v>
                </c:pt>
                <c:pt idx="4" formatCode="0">
                  <c:v>8762</c:v>
                </c:pt>
                <c:pt idx="5" formatCode="0">
                  <c:v>9143</c:v>
                </c:pt>
                <c:pt idx="6" formatCode="0_)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5-4C76-83A7-00424F7E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788559"/>
        <c:axId val="70768399"/>
      </c:barChart>
      <c:catAx>
        <c:axId val="7078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68399"/>
        <c:crosses val="autoZero"/>
        <c:auto val="1"/>
        <c:lblAlgn val="ctr"/>
        <c:lblOffset val="100"/>
        <c:noMultiLvlLbl val="0"/>
      </c:catAx>
      <c:valAx>
        <c:axId val="7076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8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'Michigan FFA Chapter Roster'!$A$128:$B$128</c:f>
              <c:strCache>
                <c:ptCount val="2"/>
                <c:pt idx="0">
                  <c:v>MI0207</c:v>
                </c:pt>
                <c:pt idx="1">
                  <c:v>Whittemore-Prescott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Roster'!$C$128:$O$128</c:f>
              <c:numCache>
                <c:formatCode>"$"#,##0.00</c:formatCode>
                <c:ptCount val="8"/>
                <c:pt idx="0" formatCode="0">
                  <c:v>6</c:v>
                </c:pt>
                <c:pt idx="1">
                  <c:v>274</c:v>
                </c:pt>
                <c:pt idx="2" formatCode="&quot;$&quot;#,##0.00_);\(&quot;$&quot;#,##0.00\)">
                  <c:v>274</c:v>
                </c:pt>
                <c:pt idx="3" formatCode="&quot;$&quot;#,##0.00_);\(&quot;$&quot;#,##0.00\)">
                  <c:v>0</c:v>
                </c:pt>
                <c:pt idx="4" formatCode="0">
                  <c:v>27</c:v>
                </c:pt>
                <c:pt idx="5" formatCode="0">
                  <c:v>38</c:v>
                </c:pt>
                <c:pt idx="6" formatCode="0_)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E-4DA2-B349-4A030518FE37}"/>
            </c:ext>
          </c:extLst>
        </c:ser>
        <c:ser>
          <c:idx val="1"/>
          <c:order val="1"/>
          <c:tx>
            <c:strRef>
              <c:f>'Michigan FFA Chapter Roster'!$A$129:$B$129</c:f>
              <c:strCache>
                <c:ptCount val="2"/>
                <c:pt idx="0">
                  <c:v>MI0426</c:v>
                </c:pt>
                <c:pt idx="1">
                  <c:v>WTC BioSciences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Roster'!$C$129:$O$129</c:f>
              <c:numCache>
                <c:formatCode>"$"#,##0.00</c:formatCode>
                <c:ptCount val="8"/>
                <c:pt idx="0" formatCode="0">
                  <c:v>4</c:v>
                </c:pt>
                <c:pt idx="1">
                  <c:v>228</c:v>
                </c:pt>
                <c:pt idx="2" formatCode="&quot;$&quot;#,##0.00_);\(&quot;$&quot;#,##0.00\)">
                  <c:v>228</c:v>
                </c:pt>
                <c:pt idx="3" formatCode="&quot;$&quot;#,##0.00_);\(&quot;$&quot;#,##0.00\)">
                  <c:v>0</c:v>
                </c:pt>
                <c:pt idx="4" formatCode="0">
                  <c:v>21</c:v>
                </c:pt>
                <c:pt idx="5" formatCode="0">
                  <c:v>39</c:v>
                </c:pt>
                <c:pt idx="6" formatCode="0_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E-4DA2-B349-4A030518FE37}"/>
            </c:ext>
          </c:extLst>
        </c:ser>
        <c:ser>
          <c:idx val="2"/>
          <c:order val="2"/>
          <c:tx>
            <c:strRef>
              <c:f>'Michigan FFA Chapter Roster'!$A$130:$B$130</c:f>
              <c:strCache>
                <c:ptCount val="2"/>
                <c:pt idx="0">
                  <c:v>MI0426</c:v>
                </c:pt>
                <c:pt idx="1">
                  <c:v>TOTALS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63</c:v>
                  </c:pt>
                  <c:pt idx="6">
                    <c:v>63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47</c:v>
                  </c:pt>
                  <c:pt idx="6">
                    <c:v>-27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147</c:v>
                  </c:pt>
                  <c:pt idx="6">
                    <c:v>-27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20</c:v>
                  </c:pt>
                  <c:pt idx="6">
                    <c:v>-4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40</c:v>
                  </c:pt>
                  <c:pt idx="6">
                    <c:v>9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47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75</c:v>
                  </c:pt>
                  <c:pt idx="6">
                    <c:v>19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5">
                    <c:v>16</c:v>
                  </c:pt>
                  <c:pt idx="6">
                    <c:v>-33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63</c:v>
                  </c:pt>
                  <c:pt idx="6">
                    <c:v>42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62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223</c:v>
                  </c:pt>
                  <c:pt idx="6">
                    <c:v>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98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18</c:v>
                  </c:pt>
                  <c:pt idx="6">
                    <c:v>-4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11</c:v>
                  </c:pt>
                  <c:pt idx="6">
                    <c:v>-9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5">
                    <c:v>15</c:v>
                  </c:pt>
                  <c:pt idx="6">
                    <c:v>-4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96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133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5">
                    <c:v>8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125</c:v>
                  </c:pt>
                  <c:pt idx="6">
                    <c:v>-28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31</c:v>
                  </c:pt>
                  <c:pt idx="6">
                    <c:v>4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148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33</c:v>
                  </c:pt>
                  <c:pt idx="6">
                    <c:v>12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102</c:v>
                  </c:pt>
                  <c:pt idx="6">
                    <c:v>47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140</c:v>
                  </c:pt>
                  <c:pt idx="6">
                    <c:v>53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94</c:v>
                  </c:pt>
                  <c:pt idx="6">
                    <c:v>-7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17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5">
                    <c:v>24</c:v>
                  </c:pt>
                  <c:pt idx="6">
                    <c:v>1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44</c:v>
                  </c:pt>
                  <c:pt idx="6">
                    <c:v>8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25</c:v>
                  </c:pt>
                  <c:pt idx="6">
                    <c:v>12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219</c:v>
                  </c:pt>
                  <c:pt idx="6">
                    <c:v>28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191</c:v>
                  </c:pt>
                  <c:pt idx="6">
                    <c:v>85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104</c:v>
                  </c:pt>
                  <c:pt idx="6">
                    <c:v>21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46</c:v>
                  </c:pt>
                  <c:pt idx="6">
                    <c:v>-9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116</c:v>
                  </c:pt>
                  <c:pt idx="6">
                    <c:v>80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92</c:v>
                  </c:pt>
                  <c:pt idx="6">
                    <c:v>39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43</c:v>
                  </c:pt>
                  <c:pt idx="6">
                    <c:v>-15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25</c:v>
                  </c:pt>
                  <c:pt idx="6">
                    <c:v>2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117</c:v>
                  </c:pt>
                  <c:pt idx="6">
                    <c:v>17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87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166</c:v>
                  </c:pt>
                  <c:pt idx="6">
                    <c:v>28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157</c:v>
                  </c:pt>
                  <c:pt idx="6">
                    <c:v>137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54</c:v>
                  </c:pt>
                  <c:pt idx="6">
                    <c:v>-15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112</c:v>
                  </c:pt>
                  <c:pt idx="6">
                    <c:v>-50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11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221</c:v>
                  </c:pt>
                  <c:pt idx="6">
                    <c:v>141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Roster'!$C$130:$O$130</c:f>
              <c:numCache>
                <c:formatCode>"$"#,##0.00</c:formatCode>
                <c:ptCount val="8"/>
                <c:pt idx="1">
                  <c:v>55695</c:v>
                </c:pt>
                <c:pt idx="2">
                  <c:v>81542</c:v>
                </c:pt>
                <c:pt idx="3">
                  <c:v>25847</c:v>
                </c:pt>
                <c:pt idx="4" formatCode="0">
                  <c:v>8762</c:v>
                </c:pt>
                <c:pt idx="5" formatCode="0">
                  <c:v>9143</c:v>
                </c:pt>
                <c:pt idx="6" formatCode="0_)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E-4DA2-B349-4A030518F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414367"/>
        <c:axId val="509418687"/>
      </c:barChart>
      <c:catAx>
        <c:axId val="50941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18687"/>
        <c:crosses val="autoZero"/>
        <c:auto val="1"/>
        <c:lblAlgn val="ctr"/>
        <c:lblOffset val="100"/>
        <c:noMultiLvlLbl val="0"/>
      </c:catAx>
      <c:valAx>
        <c:axId val="50941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1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305C2-3607-9147-DE45-6EB0B55987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1D94EA-85A6-23E6-220C-72C7371807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Y162"/>
  <sheetViews>
    <sheetView showGridLines="0" tabSelected="1" zoomScale="150" zoomScaleNormal="150" workbookViewId="0">
      <pane ySplit="1" topLeftCell="A125" activePane="bottomLeft" state="frozen"/>
      <selection pane="bottomLeft" activeCell="C135" sqref="C135"/>
    </sheetView>
  </sheetViews>
  <sheetFormatPr defaultColWidth="11.21875" defaultRowHeight="15" customHeight="1"/>
  <cols>
    <col min="1" max="1" width="9" customWidth="1"/>
    <col min="2" max="2" width="15.5546875" customWidth="1"/>
    <col min="3" max="3" width="4.88671875" customWidth="1"/>
    <col min="4" max="4" width="6.77734375" customWidth="1"/>
    <col min="5" max="5" width="9.109375" customWidth="1"/>
    <col min="6" max="6" width="7.5546875" customWidth="1"/>
    <col min="7" max="7" width="5.44140625" customWidth="1"/>
    <col min="8" max="8" width="5.44140625" hidden="1" customWidth="1"/>
    <col min="9" max="9" width="5.44140625" customWidth="1"/>
    <col min="10" max="10" width="4.88671875" customWidth="1"/>
    <col min="11" max="14" width="9.77734375" hidden="1" customWidth="1"/>
    <col min="15" max="15" width="9.77734375" style="53" customWidth="1"/>
    <col min="16" max="25" width="8" customWidth="1"/>
  </cols>
  <sheetData>
    <row r="1" spans="1:25" ht="39.7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4" t="s">
        <v>6</v>
      </c>
      <c r="H1" s="3" t="s">
        <v>7</v>
      </c>
      <c r="I1" s="60" t="s">
        <v>8</v>
      </c>
      <c r="J1" s="2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1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75">
      <c r="A2" s="8" t="s">
        <v>14</v>
      </c>
      <c r="B2" s="9" t="s">
        <v>15</v>
      </c>
      <c r="C2" s="10">
        <v>2</v>
      </c>
      <c r="D2" s="11"/>
      <c r="E2" s="12">
        <f>IFERROR(VLOOKUP(G2,Sheet1!$A$1:$B$98,2,TRUE),0)</f>
        <v>503</v>
      </c>
      <c r="F2" s="12">
        <f t="shared" ref="F2:F6" si="0">E2-D2</f>
        <v>503</v>
      </c>
      <c r="G2" s="55">
        <v>51</v>
      </c>
      <c r="H2" s="13"/>
      <c r="I2" s="61">
        <f>50</f>
        <v>50</v>
      </c>
      <c r="J2" s="14">
        <f>I2-G2</f>
        <v>-1</v>
      </c>
      <c r="K2" s="7"/>
      <c r="L2" s="7"/>
      <c r="M2" s="7">
        <v>25</v>
      </c>
      <c r="N2" s="7"/>
      <c r="O2" s="51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75">
      <c r="A3" s="8" t="s">
        <v>16</v>
      </c>
      <c r="B3" s="9" t="s">
        <v>17</v>
      </c>
      <c r="C3" s="10">
        <v>6</v>
      </c>
      <c r="D3" s="11">
        <v>183</v>
      </c>
      <c r="E3" s="12">
        <f>IFERROR(VLOOKUP(G3,Sheet1!$A$1:$B$98,2,TRUE),0)</f>
        <v>183</v>
      </c>
      <c r="F3" s="12">
        <f t="shared" si="0"/>
        <v>0</v>
      </c>
      <c r="G3" s="55">
        <v>17</v>
      </c>
      <c r="H3" s="13"/>
      <c r="I3" s="61">
        <f>11+7</f>
        <v>18</v>
      </c>
      <c r="J3" s="14">
        <f>I3-G3</f>
        <v>1</v>
      </c>
      <c r="K3" s="19"/>
      <c r="L3" s="7"/>
      <c r="M3" s="7">
        <v>20</v>
      </c>
      <c r="N3" s="7"/>
      <c r="O3" s="51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>
      <c r="A4" s="8" t="s">
        <v>18</v>
      </c>
      <c r="B4" s="9" t="s">
        <v>19</v>
      </c>
      <c r="C4" s="10">
        <v>6</v>
      </c>
      <c r="D4" s="11"/>
      <c r="E4" s="12">
        <f>IFERROR(VLOOKUP(G4,Sheet1!$A$1:$B$98,2,TRUE),0)</f>
        <v>959</v>
      </c>
      <c r="F4" s="12">
        <f t="shared" si="0"/>
        <v>959</v>
      </c>
      <c r="G4" s="55">
        <v>103</v>
      </c>
      <c r="H4" s="13"/>
      <c r="I4" s="61">
        <f>50+50+4+1+1+1+1</f>
        <v>108</v>
      </c>
      <c r="J4" s="14">
        <f t="shared" ref="J4:J67" si="1">I4-G4</f>
        <v>5</v>
      </c>
      <c r="K4" s="7"/>
      <c r="L4" s="7"/>
      <c r="M4" s="7">
        <v>42</v>
      </c>
      <c r="N4" s="7"/>
      <c r="O4" s="51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>
      <c r="A5" s="8" t="s">
        <v>20</v>
      </c>
      <c r="B5" s="9" t="s">
        <v>21</v>
      </c>
      <c r="C5" s="10">
        <v>1</v>
      </c>
      <c r="D5" s="11"/>
      <c r="E5" s="12">
        <f>IFERROR(VLOOKUP(G5,Sheet1!$A$1:$B$98,2,TRUE),0)</f>
        <v>594</v>
      </c>
      <c r="F5" s="12">
        <f t="shared" si="0"/>
        <v>594</v>
      </c>
      <c r="G5" s="55">
        <v>63</v>
      </c>
      <c r="H5" s="13"/>
      <c r="I5" s="61">
        <f>19</f>
        <v>19</v>
      </c>
      <c r="J5" s="14">
        <f t="shared" si="1"/>
        <v>-44</v>
      </c>
      <c r="K5" s="7">
        <v>52</v>
      </c>
      <c r="L5" s="7"/>
      <c r="M5" s="7" t="s">
        <v>22</v>
      </c>
      <c r="N5" s="7"/>
      <c r="O5" s="51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>
      <c r="A6" s="8" t="s">
        <v>23</v>
      </c>
      <c r="B6" s="9" t="s">
        <v>24</v>
      </c>
      <c r="C6" s="10">
        <v>3</v>
      </c>
      <c r="D6" s="11"/>
      <c r="E6" s="12">
        <f>IFERROR(VLOOKUP(G6,Sheet1!$A$1:$B$98,2,TRUE),0)</f>
        <v>411</v>
      </c>
      <c r="F6" s="12">
        <f t="shared" si="0"/>
        <v>411</v>
      </c>
      <c r="G6" s="55">
        <v>43</v>
      </c>
      <c r="H6" s="13"/>
      <c r="I6" s="61">
        <f>1+26</f>
        <v>27</v>
      </c>
      <c r="J6" s="14">
        <f t="shared" si="1"/>
        <v>-16</v>
      </c>
      <c r="K6" s="7">
        <v>99</v>
      </c>
      <c r="L6" s="7"/>
      <c r="M6" s="7" t="s">
        <v>22</v>
      </c>
      <c r="N6" s="7"/>
      <c r="O6" s="51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>
      <c r="A7" s="8" t="s">
        <v>25</v>
      </c>
      <c r="B7" s="9" t="s">
        <v>26</v>
      </c>
      <c r="C7" s="10">
        <v>6</v>
      </c>
      <c r="D7" s="11">
        <v>731</v>
      </c>
      <c r="E7" s="12">
        <f>IFERROR(VLOOKUP(G7,Sheet1!$A$1:$B$98,2,TRUE),0)</f>
        <v>731</v>
      </c>
      <c r="F7" s="12">
        <f>E7-D7</f>
        <v>0</v>
      </c>
      <c r="G7" s="55">
        <v>80</v>
      </c>
      <c r="H7" s="13"/>
      <c r="I7" s="61">
        <f>35+9+27+26+30+30+17+16+30+1</f>
        <v>221</v>
      </c>
      <c r="J7" s="14">
        <f t="shared" si="1"/>
        <v>141</v>
      </c>
      <c r="K7" s="7"/>
      <c r="L7" s="7"/>
      <c r="M7" s="7">
        <v>78</v>
      </c>
      <c r="N7" s="7"/>
      <c r="O7" s="5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.75">
      <c r="A8" s="8" t="s">
        <v>27</v>
      </c>
      <c r="B8" s="9" t="s">
        <v>28</v>
      </c>
      <c r="C8" s="10">
        <v>3</v>
      </c>
      <c r="D8" s="11">
        <v>137</v>
      </c>
      <c r="E8" s="12">
        <f>IFERROR(VLOOKUP(G8,Sheet1!$A$1:$B$98,2,TRUE),0)</f>
        <v>137</v>
      </c>
      <c r="F8" s="12">
        <f>E8-D8</f>
        <v>0</v>
      </c>
      <c r="G8" s="55">
        <v>15</v>
      </c>
      <c r="H8" s="13"/>
      <c r="I8" s="61">
        <f>10+1</f>
        <v>11</v>
      </c>
      <c r="J8" s="14">
        <f t="shared" si="1"/>
        <v>-4</v>
      </c>
      <c r="K8" s="7"/>
      <c r="L8" s="7"/>
      <c r="M8" s="7"/>
      <c r="N8" s="7"/>
      <c r="O8" s="51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.75">
      <c r="A9" s="8" t="s">
        <v>29</v>
      </c>
      <c r="B9" s="9" t="s">
        <v>30</v>
      </c>
      <c r="C9" s="10">
        <v>3</v>
      </c>
      <c r="D9" s="11">
        <v>1507</v>
      </c>
      <c r="E9" s="12">
        <f>IFERROR(VLOOKUP(G9,Sheet1!$A$1:$B$98,2,TRUE),0)</f>
        <v>1507</v>
      </c>
      <c r="F9" s="12">
        <f t="shared" ref="F9:F129" si="2">E9-D9</f>
        <v>0</v>
      </c>
      <c r="G9" s="55">
        <v>162</v>
      </c>
      <c r="H9" s="13"/>
      <c r="I9" s="61">
        <f>50+44+19-1</f>
        <v>112</v>
      </c>
      <c r="J9" s="14">
        <f t="shared" si="1"/>
        <v>-50</v>
      </c>
      <c r="K9" s="7"/>
      <c r="L9" s="7"/>
      <c r="M9" s="7"/>
      <c r="N9" s="7"/>
      <c r="O9" s="51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6.5" customHeight="1">
      <c r="A10" s="8" t="s">
        <v>31</v>
      </c>
      <c r="B10" s="9" t="s">
        <v>32</v>
      </c>
      <c r="C10" s="10">
        <v>6</v>
      </c>
      <c r="D10" s="11">
        <v>640</v>
      </c>
      <c r="E10" s="12">
        <f>IFERROR(VLOOKUP(G10,Sheet1!$A$1:$B$98,2,TRUE),0)</f>
        <v>640</v>
      </c>
      <c r="F10" s="12">
        <f t="shared" si="2"/>
        <v>0</v>
      </c>
      <c r="G10" s="55">
        <v>69</v>
      </c>
      <c r="H10" s="13"/>
      <c r="I10" s="61">
        <f>25+18+2+1+7+1</f>
        <v>54</v>
      </c>
      <c r="J10" s="14">
        <f t="shared" si="1"/>
        <v>-15</v>
      </c>
      <c r="K10" s="7">
        <v>39</v>
      </c>
      <c r="L10" s="7"/>
      <c r="M10" s="7" t="s">
        <v>22</v>
      </c>
      <c r="N10" s="7"/>
      <c r="O10" s="51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>
      <c r="A11" s="8" t="s">
        <v>33</v>
      </c>
      <c r="B11" s="9" t="s">
        <v>34</v>
      </c>
      <c r="C11" s="10">
        <v>5</v>
      </c>
      <c r="D11" s="11">
        <v>183</v>
      </c>
      <c r="E11" s="12">
        <f>IFERROR(VLOOKUP(G11,Sheet1!$A$1:$B$98,2,TRUE),0)</f>
        <v>183</v>
      </c>
      <c r="F11" s="12">
        <f t="shared" si="2"/>
        <v>0</v>
      </c>
      <c r="G11" s="55">
        <v>20</v>
      </c>
      <c r="H11" s="13"/>
      <c r="I11" s="61">
        <f>16+43+45+46+3+3+1</f>
        <v>157</v>
      </c>
      <c r="J11" s="14">
        <f t="shared" si="1"/>
        <v>137</v>
      </c>
      <c r="K11" s="7"/>
      <c r="L11" s="7"/>
      <c r="M11" s="7"/>
      <c r="N11" s="7"/>
      <c r="O11" s="51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75">
      <c r="A12" s="8" t="s">
        <v>35</v>
      </c>
      <c r="B12" s="9" t="s">
        <v>36</v>
      </c>
      <c r="C12" s="10">
        <v>1</v>
      </c>
      <c r="D12" s="11"/>
      <c r="E12" s="12">
        <f>IFERROR(VLOOKUP(G12,Sheet1!$A$1:$B$98,2,TRUE),0)</f>
        <v>183</v>
      </c>
      <c r="F12" s="12">
        <f t="shared" si="2"/>
        <v>183</v>
      </c>
      <c r="G12" s="55">
        <v>18</v>
      </c>
      <c r="H12" s="13"/>
      <c r="I12" s="61">
        <f>22</f>
        <v>22</v>
      </c>
      <c r="J12" s="14">
        <f t="shared" si="1"/>
        <v>4</v>
      </c>
      <c r="K12" s="7"/>
      <c r="L12" s="7"/>
      <c r="M12" s="7"/>
      <c r="N12" s="7"/>
      <c r="O12" s="51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75">
      <c r="A13" s="8" t="s">
        <v>37</v>
      </c>
      <c r="B13" s="9" t="s">
        <v>38</v>
      </c>
      <c r="C13" s="10">
        <v>6</v>
      </c>
      <c r="D13" s="11"/>
      <c r="E13" s="12">
        <f>IFERROR(VLOOKUP(G13,Sheet1!$A$1:$B$98,2,TRUE),0)</f>
        <v>0</v>
      </c>
      <c r="F13" s="12">
        <f>E13-D13</f>
        <v>0</v>
      </c>
      <c r="G13" s="55"/>
      <c r="H13" s="13"/>
      <c r="I13" s="61"/>
      <c r="J13" s="14">
        <f t="shared" si="1"/>
        <v>0</v>
      </c>
      <c r="K13" s="7"/>
      <c r="L13" s="7"/>
      <c r="M13" s="7">
        <v>10</v>
      </c>
      <c r="N13" s="7"/>
      <c r="O13" s="51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>
      <c r="A14" s="8" t="s">
        <v>39</v>
      </c>
      <c r="B14" s="9" t="s">
        <v>40</v>
      </c>
      <c r="C14" s="10">
        <v>2</v>
      </c>
      <c r="D14" s="11">
        <v>1279</v>
      </c>
      <c r="E14" s="12">
        <f>IFERROR(VLOOKUP(G14,Sheet1!$A$1:$B$98,2,TRUE),0)</f>
        <v>1279</v>
      </c>
      <c r="F14" s="12">
        <f>E14-D14</f>
        <v>0</v>
      </c>
      <c r="G14" s="55">
        <v>138</v>
      </c>
      <c r="H14" s="13"/>
      <c r="I14" s="61">
        <f>1+3+1+4+74+8+50+21+3+1</f>
        <v>166</v>
      </c>
      <c r="J14" s="14">
        <f t="shared" si="1"/>
        <v>28</v>
      </c>
      <c r="K14" s="7"/>
      <c r="L14" s="7"/>
      <c r="M14" s="7"/>
      <c r="N14" s="7"/>
      <c r="O14" s="25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75">
      <c r="A15" s="8" t="s">
        <v>41</v>
      </c>
      <c r="B15" s="9" t="s">
        <v>42</v>
      </c>
      <c r="C15" s="10">
        <v>2</v>
      </c>
      <c r="D15" s="11"/>
      <c r="E15" s="12">
        <f>IFERROR(VLOOKUP(G15,Sheet1!$A$1:$B$98,2,TRUE),0)</f>
        <v>320</v>
      </c>
      <c r="F15" s="12">
        <f t="shared" si="2"/>
        <v>320</v>
      </c>
      <c r="G15" s="55">
        <v>32</v>
      </c>
      <c r="H15" s="13"/>
      <c r="I15" s="61">
        <f>5+10</f>
        <v>15</v>
      </c>
      <c r="J15" s="14">
        <f t="shared" si="1"/>
        <v>-17</v>
      </c>
      <c r="K15" s="7"/>
      <c r="L15" s="7"/>
      <c r="M15" s="7"/>
      <c r="N15" s="7"/>
      <c r="O15" s="51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>
      <c r="A16" s="8" t="s">
        <v>43</v>
      </c>
      <c r="B16" s="9" t="s">
        <v>44</v>
      </c>
      <c r="C16" s="10">
        <v>1</v>
      </c>
      <c r="D16" s="11">
        <v>776</v>
      </c>
      <c r="E16" s="12">
        <f>IFERROR(VLOOKUP(G16,Sheet1!$A$1:$B$98,2,TRUE),0)</f>
        <v>776</v>
      </c>
      <c r="F16" s="12">
        <f t="shared" si="2"/>
        <v>0</v>
      </c>
      <c r="G16" s="55">
        <v>85</v>
      </c>
      <c r="H16" s="13"/>
      <c r="I16" s="61">
        <f>84+2+1</f>
        <v>87</v>
      </c>
      <c r="J16" s="14">
        <f t="shared" si="1"/>
        <v>2</v>
      </c>
      <c r="K16" s="7">
        <v>133</v>
      </c>
      <c r="L16" s="7"/>
      <c r="M16" s="7" t="s">
        <v>22</v>
      </c>
      <c r="N16" s="7"/>
      <c r="O16" s="51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75">
      <c r="A17" s="8" t="s">
        <v>45</v>
      </c>
      <c r="B17" s="9" t="s">
        <v>46</v>
      </c>
      <c r="C17" s="10">
        <v>3</v>
      </c>
      <c r="D17" s="11">
        <v>640</v>
      </c>
      <c r="E17" s="12">
        <f>IFERROR(VLOOKUP(G17,Sheet1!$A$1:$B$98,2,TRUE),0)</f>
        <v>640</v>
      </c>
      <c r="F17" s="12">
        <f t="shared" si="2"/>
        <v>0</v>
      </c>
      <c r="G17" s="55">
        <v>67</v>
      </c>
      <c r="H17" s="13"/>
      <c r="I17" s="61">
        <f>139+2</f>
        <v>141</v>
      </c>
      <c r="J17" s="14">
        <f t="shared" si="1"/>
        <v>74</v>
      </c>
      <c r="K17" s="7">
        <v>99</v>
      </c>
      <c r="L17" s="7"/>
      <c r="M17" s="7" t="s">
        <v>22</v>
      </c>
      <c r="N17" s="7"/>
      <c r="O17" s="51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.75">
      <c r="A18" s="8" t="s">
        <v>47</v>
      </c>
      <c r="B18" s="9" t="s">
        <v>48</v>
      </c>
      <c r="C18" s="10">
        <v>4</v>
      </c>
      <c r="D18" s="11"/>
      <c r="E18" s="12">
        <f>IFERROR(VLOOKUP(G18,Sheet1!$A$1:$B$98,2,TRUE),0)</f>
        <v>914</v>
      </c>
      <c r="F18" s="12">
        <f t="shared" si="2"/>
        <v>914</v>
      </c>
      <c r="G18" s="55">
        <v>100</v>
      </c>
      <c r="H18" s="13"/>
      <c r="I18" s="61">
        <f>50+13+20+9+1+10+9+5</f>
        <v>117</v>
      </c>
      <c r="J18" s="14">
        <f t="shared" si="1"/>
        <v>17</v>
      </c>
      <c r="K18" s="7">
        <v>178</v>
      </c>
      <c r="L18" s="7"/>
      <c r="M18" s="7" t="s">
        <v>22</v>
      </c>
      <c r="N18" s="7"/>
      <c r="O18" s="51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.75">
      <c r="A19" s="8" t="s">
        <v>49</v>
      </c>
      <c r="B19" s="9" t="s">
        <v>50</v>
      </c>
      <c r="C19" s="10">
        <v>5</v>
      </c>
      <c r="D19" s="11">
        <v>1005</v>
      </c>
      <c r="E19" s="12">
        <f>IFERROR(VLOOKUP(G19,Sheet1!$A$1:$B$98,2,TRUE),0)</f>
        <v>1005</v>
      </c>
      <c r="F19" s="12">
        <f t="shared" si="2"/>
        <v>0</v>
      </c>
      <c r="G19" s="55">
        <v>108</v>
      </c>
      <c r="H19" s="13"/>
      <c r="I19" s="61">
        <f>22</f>
        <v>22</v>
      </c>
      <c r="J19" s="14">
        <f t="shared" si="1"/>
        <v>-86</v>
      </c>
      <c r="K19" s="7"/>
      <c r="L19" s="7"/>
      <c r="M19" s="7">
        <v>86</v>
      </c>
      <c r="N19" s="7"/>
      <c r="O19" s="51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75">
      <c r="A20" s="8" t="s">
        <v>51</v>
      </c>
      <c r="B20" s="9" t="s">
        <v>52</v>
      </c>
      <c r="C20" s="10">
        <v>1</v>
      </c>
      <c r="D20" s="11"/>
      <c r="E20" s="12">
        <f>IFERROR(VLOOKUP(G20,Sheet1!$A$1:$B$98,2,TRUE),0)</f>
        <v>457</v>
      </c>
      <c r="F20" s="12">
        <f t="shared" si="2"/>
        <v>457</v>
      </c>
      <c r="G20" s="55">
        <v>49</v>
      </c>
      <c r="H20" s="13"/>
      <c r="I20" s="61">
        <f>32+5+4</f>
        <v>41</v>
      </c>
      <c r="J20" s="14">
        <f t="shared" si="1"/>
        <v>-8</v>
      </c>
      <c r="K20" s="7"/>
      <c r="L20" s="7"/>
      <c r="M20" s="7"/>
      <c r="N20" s="7"/>
      <c r="O20" s="51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>
      <c r="A21" s="8" t="s">
        <v>53</v>
      </c>
      <c r="B21" s="9" t="s">
        <v>54</v>
      </c>
      <c r="C21" s="10">
        <v>2</v>
      </c>
      <c r="D21" s="11">
        <v>328</v>
      </c>
      <c r="E21" s="12">
        <f>IFERROR(VLOOKUP(G21,Sheet1!$A$1:$B$98,2,TRUE),0)</f>
        <v>228</v>
      </c>
      <c r="F21" s="12">
        <f t="shared" si="2"/>
        <v>-100</v>
      </c>
      <c r="G21" s="55">
        <v>23</v>
      </c>
      <c r="H21" s="13"/>
      <c r="I21" s="61">
        <f>1+14+10</f>
        <v>25</v>
      </c>
      <c r="J21" s="14">
        <f t="shared" si="1"/>
        <v>2</v>
      </c>
      <c r="K21" s="7">
        <v>104</v>
      </c>
      <c r="L21" s="7"/>
      <c r="M21" s="7" t="s">
        <v>22</v>
      </c>
      <c r="N21" s="7"/>
      <c r="O21" s="51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>
      <c r="A22" s="8" t="s">
        <v>55</v>
      </c>
      <c r="B22" s="9" t="s">
        <v>56</v>
      </c>
      <c r="C22" s="10">
        <v>4</v>
      </c>
      <c r="D22" s="11"/>
      <c r="E22" s="12">
        <f>IFERROR(VLOOKUP(G22,Sheet1!$A$1:$B$98,2,TRUE),0)</f>
        <v>274</v>
      </c>
      <c r="F22" s="12">
        <f t="shared" si="2"/>
        <v>274</v>
      </c>
      <c r="G22" s="55">
        <v>27</v>
      </c>
      <c r="H22" s="13"/>
      <c r="I22" s="61">
        <f>1</f>
        <v>1</v>
      </c>
      <c r="J22" s="14">
        <f t="shared" si="1"/>
        <v>-26</v>
      </c>
      <c r="K22" s="7"/>
      <c r="L22" s="7"/>
      <c r="M22" s="7">
        <v>12</v>
      </c>
      <c r="N22" s="7"/>
      <c r="O22" s="51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75" customHeight="1">
      <c r="A23" s="8" t="s">
        <v>57</v>
      </c>
      <c r="B23" s="9" t="s">
        <v>58</v>
      </c>
      <c r="C23" s="10">
        <v>5</v>
      </c>
      <c r="D23" s="11"/>
      <c r="E23" s="12">
        <f>IFERROR(VLOOKUP(G23,Sheet1!$A$1:$B$98,2,TRUE),0)</f>
        <v>503</v>
      </c>
      <c r="F23" s="12">
        <f t="shared" si="2"/>
        <v>503</v>
      </c>
      <c r="G23" s="55">
        <v>54</v>
      </c>
      <c r="H23" s="13"/>
      <c r="I23" s="61">
        <f>6+47+1</f>
        <v>54</v>
      </c>
      <c r="J23" s="14">
        <f t="shared" si="1"/>
        <v>0</v>
      </c>
      <c r="K23" s="7">
        <v>74</v>
      </c>
      <c r="L23" s="7"/>
      <c r="M23" s="7" t="s">
        <v>22</v>
      </c>
      <c r="N23" s="7"/>
      <c r="O23" s="51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.75" customHeight="1">
      <c r="A24" s="8" t="s">
        <v>59</v>
      </c>
      <c r="B24" s="9" t="s">
        <v>60</v>
      </c>
      <c r="C24" s="10">
        <v>5</v>
      </c>
      <c r="D24" s="11"/>
      <c r="E24" s="12">
        <f>IFERROR(VLOOKUP(G24,Sheet1!$A$1:$B$98,2,TRUE),0)</f>
        <v>548</v>
      </c>
      <c r="F24" s="12">
        <f t="shared" si="2"/>
        <v>548</v>
      </c>
      <c r="G24" s="55">
        <v>58</v>
      </c>
      <c r="H24" s="13"/>
      <c r="I24" s="61">
        <f>4+3+32+1+1+1+1</f>
        <v>43</v>
      </c>
      <c r="J24" s="14">
        <f t="shared" si="1"/>
        <v>-15</v>
      </c>
      <c r="K24" s="7"/>
      <c r="L24" s="7"/>
      <c r="M24" s="7" t="s">
        <v>22</v>
      </c>
      <c r="N24" s="7"/>
      <c r="O24" s="51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.75" customHeight="1">
      <c r="A25" s="8" t="s">
        <v>61</v>
      </c>
      <c r="B25" s="9" t="s">
        <v>62</v>
      </c>
      <c r="C25" s="10">
        <v>6</v>
      </c>
      <c r="D25" s="11">
        <v>365</v>
      </c>
      <c r="E25" s="12">
        <f>IFERROR(VLOOKUP(G25,Sheet1!$A$1:$B$98,2,TRUE),0)</f>
        <v>365</v>
      </c>
      <c r="F25" s="12">
        <f t="shared" si="2"/>
        <v>0</v>
      </c>
      <c r="G25" s="55">
        <v>39</v>
      </c>
      <c r="H25" s="13"/>
      <c r="I25" s="61">
        <f>18+3+8</f>
        <v>29</v>
      </c>
      <c r="J25" s="14">
        <f t="shared" si="1"/>
        <v>-10</v>
      </c>
      <c r="K25" s="7"/>
      <c r="L25" s="7"/>
      <c r="M25" s="7"/>
      <c r="N25" s="7"/>
      <c r="O25" s="51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.75" customHeight="1">
      <c r="A26" s="8" t="s">
        <v>63</v>
      </c>
      <c r="B26" s="9" t="s">
        <v>64</v>
      </c>
      <c r="C26" s="10">
        <v>3</v>
      </c>
      <c r="D26" s="11"/>
      <c r="E26" s="12">
        <f>IFERROR(VLOOKUP(G26,Sheet1!$A$1:$B$98,2,TRUE),0)</f>
        <v>503</v>
      </c>
      <c r="F26" s="12">
        <f t="shared" si="2"/>
        <v>503</v>
      </c>
      <c r="G26" s="55">
        <v>55</v>
      </c>
      <c r="H26" s="13"/>
      <c r="I26" s="61">
        <f>50+39+1</f>
        <v>90</v>
      </c>
      <c r="J26" s="14">
        <f t="shared" si="1"/>
        <v>35</v>
      </c>
      <c r="K26" s="7"/>
      <c r="L26" s="7"/>
      <c r="M26" s="7">
        <v>28</v>
      </c>
      <c r="N26" s="7"/>
      <c r="O26" s="51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.75" customHeight="1">
      <c r="A27" s="8" t="s">
        <v>65</v>
      </c>
      <c r="B27" s="9" t="s">
        <v>66</v>
      </c>
      <c r="C27" s="10">
        <v>1</v>
      </c>
      <c r="D27" s="11"/>
      <c r="E27" s="12">
        <f>IFERROR(VLOOKUP(G27,Sheet1!$A$1:$B$98,2,TRUE),0)</f>
        <v>503</v>
      </c>
      <c r="F27" s="12">
        <f t="shared" si="2"/>
        <v>503</v>
      </c>
      <c r="G27" s="55">
        <v>53</v>
      </c>
      <c r="H27" s="13"/>
      <c r="I27" s="61">
        <f>37+11+43+1</f>
        <v>92</v>
      </c>
      <c r="J27" s="14">
        <f t="shared" si="1"/>
        <v>39</v>
      </c>
      <c r="K27" s="7">
        <v>89</v>
      </c>
      <c r="L27" s="7"/>
      <c r="M27" s="7" t="s">
        <v>22</v>
      </c>
      <c r="N27" s="7"/>
      <c r="O27" s="51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.75" customHeight="1">
      <c r="A28" s="8" t="s">
        <v>67</v>
      </c>
      <c r="B28" s="9" t="s">
        <v>68</v>
      </c>
      <c r="C28" s="10">
        <v>5</v>
      </c>
      <c r="D28" s="11">
        <v>1324</v>
      </c>
      <c r="E28" s="12">
        <f>IFERROR(VLOOKUP(G28,Sheet1!$A$1:$B$98,2,TRUE),0)</f>
        <v>1324</v>
      </c>
      <c r="F28" s="12">
        <f t="shared" si="2"/>
        <v>0</v>
      </c>
      <c r="G28" s="55">
        <v>142</v>
      </c>
      <c r="H28" s="13"/>
      <c r="I28" s="61">
        <f>50</f>
        <v>50</v>
      </c>
      <c r="J28" s="14">
        <f t="shared" si="1"/>
        <v>-92</v>
      </c>
      <c r="K28" s="7"/>
      <c r="L28" s="7"/>
      <c r="M28" s="7">
        <v>44</v>
      </c>
      <c r="N28" s="7"/>
      <c r="O28" s="51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customHeight="1">
      <c r="A29" s="8" t="s">
        <v>69</v>
      </c>
      <c r="B29" s="9" t="s">
        <v>70</v>
      </c>
      <c r="C29" s="10">
        <v>1</v>
      </c>
      <c r="D29" s="11"/>
      <c r="E29" s="12">
        <f>IFERROR(VLOOKUP(G29,Sheet1!$A$1:$B$98,2,TRUE),0)</f>
        <v>365</v>
      </c>
      <c r="F29" s="12">
        <f t="shared" si="2"/>
        <v>365</v>
      </c>
      <c r="G29" s="55">
        <v>36</v>
      </c>
      <c r="H29" s="13"/>
      <c r="I29" s="61">
        <f>33+1+3+1+1+1+1+46+24+4+1</f>
        <v>116</v>
      </c>
      <c r="J29" s="14">
        <f t="shared" si="1"/>
        <v>80</v>
      </c>
      <c r="K29" s="7"/>
      <c r="L29" s="7"/>
      <c r="M29" s="7">
        <v>45</v>
      </c>
      <c r="N29" s="7"/>
      <c r="O29" s="51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.75" customHeight="1">
      <c r="A30" s="8" t="s">
        <v>71</v>
      </c>
      <c r="B30" s="9" t="s">
        <v>72</v>
      </c>
      <c r="C30" s="10">
        <v>1</v>
      </c>
      <c r="D30" s="11">
        <v>503</v>
      </c>
      <c r="E30" s="12">
        <f>IFERROR(VLOOKUP(G30,Sheet1!$A$1:$B$98,2,TRUE),0)</f>
        <v>503</v>
      </c>
      <c r="F30" s="12">
        <f t="shared" si="2"/>
        <v>0</v>
      </c>
      <c r="G30" s="55">
        <v>55</v>
      </c>
      <c r="H30" s="13"/>
      <c r="I30" s="61">
        <f>34+10+2</f>
        <v>46</v>
      </c>
      <c r="J30" s="14">
        <f>I30-G30</f>
        <v>-9</v>
      </c>
      <c r="K30" s="7"/>
      <c r="L30" s="7"/>
      <c r="M30" s="7">
        <v>27</v>
      </c>
      <c r="N30" s="7"/>
      <c r="O30" s="51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.75" customHeight="1">
      <c r="A31" s="8" t="s">
        <v>73</v>
      </c>
      <c r="B31" s="20" t="s">
        <v>74</v>
      </c>
      <c r="C31" s="10">
        <v>3</v>
      </c>
      <c r="D31" s="11">
        <v>776</v>
      </c>
      <c r="E31" s="12">
        <f>IFERROR(VLOOKUP(G31,Sheet1!$A$1:$B$98,2,TRUE),0)</f>
        <v>776</v>
      </c>
      <c r="F31" s="12">
        <f t="shared" si="2"/>
        <v>0</v>
      </c>
      <c r="G31" s="55">
        <v>83</v>
      </c>
      <c r="H31" s="13"/>
      <c r="I31" s="61">
        <f>50+46+1+7</f>
        <v>104</v>
      </c>
      <c r="J31" s="14">
        <f t="shared" si="1"/>
        <v>21</v>
      </c>
      <c r="K31" s="7"/>
      <c r="L31" s="7"/>
      <c r="M31" s="7">
        <v>117</v>
      </c>
      <c r="N31" s="7"/>
      <c r="O31" s="51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.75" customHeight="1">
      <c r="A32" s="8" t="s">
        <v>75</v>
      </c>
      <c r="B32" s="9" t="s">
        <v>76</v>
      </c>
      <c r="C32" s="10">
        <v>5</v>
      </c>
      <c r="D32" s="11">
        <v>640</v>
      </c>
      <c r="E32" s="12">
        <f>IFERROR(VLOOKUP(G32,Sheet1!$A$1:$B$98,2,TRUE),0)</f>
        <v>640</v>
      </c>
      <c r="F32" s="12">
        <f t="shared" si="2"/>
        <v>0</v>
      </c>
      <c r="G32" s="55">
        <v>70</v>
      </c>
      <c r="H32" s="13"/>
      <c r="I32" s="61">
        <f>39</f>
        <v>39</v>
      </c>
      <c r="J32" s="14">
        <f t="shared" si="1"/>
        <v>-31</v>
      </c>
      <c r="K32" s="7"/>
      <c r="L32" s="7"/>
      <c r="M32" s="7">
        <v>42</v>
      </c>
      <c r="N32" s="7"/>
      <c r="O32" s="51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.75" customHeight="1">
      <c r="A33" s="8" t="s">
        <v>77</v>
      </c>
      <c r="B33" s="9" t="s">
        <v>78</v>
      </c>
      <c r="C33" s="10">
        <v>6</v>
      </c>
      <c r="D33" s="11">
        <v>320</v>
      </c>
      <c r="E33" s="12">
        <f>IFERROR(VLOOKUP(G33,Sheet1!$A$1:$B$98,2,TRUE),0)</f>
        <v>320</v>
      </c>
      <c r="F33" s="12">
        <f t="shared" si="2"/>
        <v>0</v>
      </c>
      <c r="G33" s="55">
        <v>33</v>
      </c>
      <c r="H33" s="13"/>
      <c r="I33" s="61">
        <f>38</f>
        <v>38</v>
      </c>
      <c r="J33" s="14">
        <f t="shared" si="1"/>
        <v>5</v>
      </c>
      <c r="K33" s="7"/>
      <c r="L33" s="7"/>
      <c r="M33" s="7"/>
      <c r="N33" s="7"/>
      <c r="O33" s="51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customHeight="1">
      <c r="A34" s="8" t="s">
        <v>79</v>
      </c>
      <c r="B34" s="9" t="s">
        <v>80</v>
      </c>
      <c r="C34" s="10">
        <v>3</v>
      </c>
      <c r="D34" s="11">
        <v>640</v>
      </c>
      <c r="E34" s="12">
        <f>IFERROR(VLOOKUP(G34,Sheet1!$A$1:$B$98,2,TRUE),0)</f>
        <v>640</v>
      </c>
      <c r="F34" s="12">
        <f t="shared" si="2"/>
        <v>0</v>
      </c>
      <c r="G34" s="55">
        <v>67</v>
      </c>
      <c r="H34" s="13"/>
      <c r="I34" s="61">
        <f>44+1+2+1+2</f>
        <v>50</v>
      </c>
      <c r="J34" s="14">
        <f t="shared" si="1"/>
        <v>-17</v>
      </c>
      <c r="K34" s="7"/>
      <c r="L34" s="7"/>
      <c r="M34" s="7">
        <v>50</v>
      </c>
      <c r="N34" s="7"/>
      <c r="O34" s="52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.75" customHeight="1">
      <c r="A35" s="8" t="s">
        <v>81</v>
      </c>
      <c r="B35" s="9" t="s">
        <v>82</v>
      </c>
      <c r="C35" s="10">
        <v>5</v>
      </c>
      <c r="D35" s="11">
        <v>1005</v>
      </c>
      <c r="E35" s="12">
        <f>IFERROR(VLOOKUP(G35,Sheet1!$A$1:$B$98,2,TRUE),0)</f>
        <v>1005</v>
      </c>
      <c r="F35" s="12">
        <f t="shared" si="2"/>
        <v>0</v>
      </c>
      <c r="G35" s="55">
        <v>106</v>
      </c>
      <c r="H35" s="13"/>
      <c r="I35" s="61">
        <f>112+1+1+1+63+13</f>
        <v>191</v>
      </c>
      <c r="J35" s="14">
        <f t="shared" si="1"/>
        <v>85</v>
      </c>
      <c r="K35" s="7"/>
      <c r="L35" s="7"/>
      <c r="M35" s="7">
        <v>58</v>
      </c>
      <c r="N35" s="7"/>
      <c r="O35" s="52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75" customHeight="1">
      <c r="A36" s="8" t="s">
        <v>83</v>
      </c>
      <c r="B36" s="9" t="s">
        <v>84</v>
      </c>
      <c r="C36" s="10">
        <v>4</v>
      </c>
      <c r="D36" s="11">
        <v>1782</v>
      </c>
      <c r="E36" s="12">
        <f>IFERROR(VLOOKUP(G36,Sheet1!$A$1:$B$98,2,TRUE),0)</f>
        <v>1782</v>
      </c>
      <c r="F36" s="12">
        <f t="shared" si="2"/>
        <v>0</v>
      </c>
      <c r="G36" s="55">
        <v>191</v>
      </c>
      <c r="H36" s="13"/>
      <c r="I36" s="61">
        <f>22+41+50+24+14+8+6+50+5-1</f>
        <v>219</v>
      </c>
      <c r="J36" s="14">
        <f t="shared" si="1"/>
        <v>28</v>
      </c>
      <c r="K36" s="7">
        <v>154</v>
      </c>
      <c r="L36" s="7"/>
      <c r="M36" s="7" t="s">
        <v>22</v>
      </c>
      <c r="N36" s="7"/>
      <c r="O36" s="52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.75" customHeight="1">
      <c r="A37" s="8" t="s">
        <v>85</v>
      </c>
      <c r="B37" s="9" t="s">
        <v>86</v>
      </c>
      <c r="C37" s="10">
        <v>1</v>
      </c>
      <c r="D37" s="11"/>
      <c r="E37" s="12">
        <f>IFERROR(VLOOKUP(G37,Sheet1!$A$1:$B$98,2,TRUE),0)</f>
        <v>137</v>
      </c>
      <c r="F37" s="12">
        <f t="shared" si="2"/>
        <v>137</v>
      </c>
      <c r="G37" s="55">
        <v>13</v>
      </c>
      <c r="H37" s="13"/>
      <c r="I37" s="61">
        <f>8+3+6+1+2+4+1</f>
        <v>25</v>
      </c>
      <c r="J37" s="14">
        <f t="shared" si="1"/>
        <v>12</v>
      </c>
      <c r="K37" s="7"/>
      <c r="L37" s="7"/>
      <c r="M37" s="7">
        <v>9</v>
      </c>
      <c r="N37" s="7"/>
      <c r="O37" s="52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.75" customHeight="1">
      <c r="A38" s="8" t="s">
        <v>87</v>
      </c>
      <c r="B38" s="9" t="s">
        <v>88</v>
      </c>
      <c r="C38" s="10">
        <v>4</v>
      </c>
      <c r="D38" s="11">
        <v>365</v>
      </c>
      <c r="E38" s="12">
        <f>IFERROR(VLOOKUP(G38,Sheet1!$A$1:$B$98,2,TRUE),0)</f>
        <v>365</v>
      </c>
      <c r="F38" s="12">
        <f t="shared" si="2"/>
        <v>0</v>
      </c>
      <c r="G38" s="55">
        <v>36</v>
      </c>
      <c r="H38" s="13"/>
      <c r="I38" s="61">
        <f>33+10+1</f>
        <v>44</v>
      </c>
      <c r="J38" s="14">
        <f t="shared" si="1"/>
        <v>8</v>
      </c>
      <c r="K38" s="7"/>
      <c r="L38" s="7"/>
      <c r="M38" s="7">
        <v>35</v>
      </c>
      <c r="N38" s="7"/>
      <c r="O38" s="52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>
      <c r="A39" s="8" t="s">
        <v>89</v>
      </c>
      <c r="B39" s="9" t="s">
        <v>90</v>
      </c>
      <c r="C39" s="10">
        <v>1</v>
      </c>
      <c r="D39" s="11"/>
      <c r="E39" s="12">
        <f>IFERROR(VLOOKUP(G39,Sheet1!$A$1:$B$98,2,TRUE),0)</f>
        <v>0</v>
      </c>
      <c r="F39" s="12">
        <f t="shared" si="2"/>
        <v>0</v>
      </c>
      <c r="G39" s="55"/>
      <c r="H39" s="13"/>
      <c r="I39" s="61">
        <f>22+1</f>
        <v>23</v>
      </c>
      <c r="J39" s="14">
        <f t="shared" si="1"/>
        <v>23</v>
      </c>
      <c r="K39" s="7"/>
      <c r="L39" s="7"/>
      <c r="M39" s="7"/>
      <c r="N39" s="7"/>
      <c r="O39" s="52" t="s">
        <v>91</v>
      </c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.75" customHeight="1">
      <c r="A40" s="8" t="s">
        <v>92</v>
      </c>
      <c r="B40" s="9" t="s">
        <v>93</v>
      </c>
      <c r="C40" s="10">
        <v>2</v>
      </c>
      <c r="D40" s="11"/>
      <c r="E40" s="12">
        <f>IFERROR(VLOOKUP(G40,Sheet1!$A$1:$B$98,2,TRUE),0)</f>
        <v>0</v>
      </c>
      <c r="F40" s="12">
        <f t="shared" ref="F40" si="3">E40-D40</f>
        <v>0</v>
      </c>
      <c r="G40" s="55"/>
      <c r="H40" s="13"/>
      <c r="I40" s="61"/>
      <c r="J40" s="14"/>
      <c r="K40" s="7"/>
      <c r="L40" s="7"/>
      <c r="M40" s="7"/>
      <c r="N40" s="7"/>
      <c r="O40" s="52" t="s">
        <v>91</v>
      </c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.75" customHeight="1">
      <c r="A41" s="8" t="s">
        <v>94</v>
      </c>
      <c r="B41" s="9" t="s">
        <v>95</v>
      </c>
      <c r="C41" s="10">
        <v>2</v>
      </c>
      <c r="D41" s="11">
        <v>959</v>
      </c>
      <c r="E41" s="12">
        <f>IFERROR(VLOOKUP(G41,Sheet1!$A$1:$B$98,2,TRUE),0)</f>
        <v>959</v>
      </c>
      <c r="F41" s="12">
        <f t="shared" si="2"/>
        <v>0</v>
      </c>
      <c r="G41" s="55">
        <v>103</v>
      </c>
      <c r="H41" s="13"/>
      <c r="I41" s="61">
        <f>97</f>
        <v>97</v>
      </c>
      <c r="J41" s="14">
        <f t="shared" si="1"/>
        <v>-6</v>
      </c>
      <c r="K41" s="7"/>
      <c r="L41" s="7"/>
      <c r="M41" s="7">
        <v>187</v>
      </c>
      <c r="N41" s="7"/>
      <c r="O41" s="52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.75" customHeight="1">
      <c r="A42" s="8" t="s">
        <v>96</v>
      </c>
      <c r="B42" s="9" t="s">
        <v>97</v>
      </c>
      <c r="C42" s="10">
        <v>4</v>
      </c>
      <c r="D42" s="11"/>
      <c r="E42" s="12">
        <f>IFERROR(VLOOKUP(G42,Sheet1!$A$1:$B$98,2,TRUE),0)</f>
        <v>2147</v>
      </c>
      <c r="F42" s="12">
        <f t="shared" si="2"/>
        <v>2147</v>
      </c>
      <c r="G42" s="55">
        <v>232</v>
      </c>
      <c r="H42" s="13"/>
      <c r="I42" s="61">
        <f>6+201+1</f>
        <v>208</v>
      </c>
      <c r="J42" s="14">
        <f t="shared" si="1"/>
        <v>-24</v>
      </c>
      <c r="K42" s="7"/>
      <c r="L42" s="7"/>
      <c r="M42" s="7">
        <v>261</v>
      </c>
      <c r="N42" s="7"/>
      <c r="O42" s="52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.75" customHeight="1">
      <c r="A43" s="8" t="s">
        <v>98</v>
      </c>
      <c r="B43" s="9" t="s">
        <v>99</v>
      </c>
      <c r="C43" s="10">
        <v>1</v>
      </c>
      <c r="D43" s="11" t="s">
        <v>100</v>
      </c>
      <c r="E43" s="12"/>
      <c r="F43" s="12"/>
      <c r="G43" s="55">
        <v>72</v>
      </c>
      <c r="H43" s="13"/>
      <c r="I43" s="61"/>
      <c r="J43" s="14">
        <f t="shared" si="1"/>
        <v>-72</v>
      </c>
      <c r="K43" s="7"/>
      <c r="L43" s="7"/>
      <c r="M43" s="7">
        <v>25</v>
      </c>
      <c r="N43" s="7"/>
      <c r="O43" s="51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.75" customHeight="1">
      <c r="A44" s="8" t="s">
        <v>101</v>
      </c>
      <c r="B44" s="9" t="s">
        <v>102</v>
      </c>
      <c r="C44" s="10">
        <v>1</v>
      </c>
      <c r="D44" s="11">
        <v>228</v>
      </c>
      <c r="E44" s="12">
        <f>IFERROR(VLOOKUP(G44,Sheet1!$A$1:$B$98,2,TRUE),0)</f>
        <v>228</v>
      </c>
      <c r="F44" s="12">
        <f t="shared" si="2"/>
        <v>0</v>
      </c>
      <c r="G44" s="55">
        <v>23</v>
      </c>
      <c r="H44" s="13"/>
      <c r="I44" s="61">
        <f>24</f>
        <v>24</v>
      </c>
      <c r="J44" s="14">
        <f t="shared" si="1"/>
        <v>1</v>
      </c>
      <c r="K44" s="7"/>
      <c r="L44" s="7"/>
      <c r="M44" s="7">
        <v>26</v>
      </c>
      <c r="N44" s="7"/>
      <c r="O44" s="51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>
      <c r="A45" s="8" t="s">
        <v>103</v>
      </c>
      <c r="B45" s="9" t="s">
        <v>104</v>
      </c>
      <c r="C45" s="10">
        <v>1</v>
      </c>
      <c r="D45" s="11">
        <v>183</v>
      </c>
      <c r="E45" s="12">
        <f>IFERROR(VLOOKUP(G45,Sheet1!$A$1:$B$98,2,TRUE),0)</f>
        <v>183</v>
      </c>
      <c r="F45" s="12">
        <f t="shared" si="2"/>
        <v>0</v>
      </c>
      <c r="G45" s="55">
        <v>17</v>
      </c>
      <c r="H45" s="13"/>
      <c r="I45" s="61">
        <f>17</f>
        <v>17</v>
      </c>
      <c r="J45" s="14">
        <f t="shared" si="1"/>
        <v>0</v>
      </c>
      <c r="K45" s="7"/>
      <c r="L45" s="7"/>
      <c r="M45" s="7"/>
      <c r="N45" s="7"/>
      <c r="O45" s="51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.75" customHeight="1">
      <c r="A46" s="8" t="s">
        <v>105</v>
      </c>
      <c r="B46" s="9" t="s">
        <v>106</v>
      </c>
      <c r="C46" s="10">
        <v>6</v>
      </c>
      <c r="D46" s="11">
        <v>137</v>
      </c>
      <c r="E46" s="12">
        <f>IFERROR(VLOOKUP(G46,Sheet1!$A$1:$B$98,2,TRUE),0)</f>
        <v>137</v>
      </c>
      <c r="F46" s="12">
        <f t="shared" si="2"/>
        <v>0</v>
      </c>
      <c r="G46" s="55">
        <v>15</v>
      </c>
      <c r="H46" s="13"/>
      <c r="I46" s="61">
        <f>13</f>
        <v>13</v>
      </c>
      <c r="J46" s="14">
        <f t="shared" si="1"/>
        <v>-2</v>
      </c>
      <c r="K46" s="7"/>
      <c r="L46" s="7"/>
      <c r="M46" s="7"/>
      <c r="N46" s="7"/>
      <c r="O46" s="51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customHeight="1">
      <c r="A47" s="8" t="s">
        <v>107</v>
      </c>
      <c r="B47" s="9" t="s">
        <v>108</v>
      </c>
      <c r="C47" s="10">
        <v>4</v>
      </c>
      <c r="D47" s="11">
        <v>731</v>
      </c>
      <c r="E47" s="12">
        <f>IFERROR(VLOOKUP(G47,Sheet1!$A$1:$B$98,2,TRUE),0)</f>
        <v>731</v>
      </c>
      <c r="F47" s="12">
        <f t="shared" si="2"/>
        <v>0</v>
      </c>
      <c r="G47" s="55">
        <v>78</v>
      </c>
      <c r="H47" s="13"/>
      <c r="I47" s="61">
        <f>90</f>
        <v>90</v>
      </c>
      <c r="J47" s="14">
        <f t="shared" si="1"/>
        <v>12</v>
      </c>
      <c r="K47" s="7"/>
      <c r="L47" s="7"/>
      <c r="M47" s="7"/>
      <c r="N47" s="7"/>
      <c r="O47" s="51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>
      <c r="A48" s="8" t="s">
        <v>109</v>
      </c>
      <c r="B48" s="9" t="s">
        <v>110</v>
      </c>
      <c r="C48" s="10">
        <v>5</v>
      </c>
      <c r="D48" s="11">
        <v>1371</v>
      </c>
      <c r="E48" s="12">
        <f>IFERROR(VLOOKUP(G48,Sheet1!$A$1:$B$98,2,TRUE),0)</f>
        <v>1371</v>
      </c>
      <c r="F48" s="12">
        <f t="shared" si="2"/>
        <v>0</v>
      </c>
      <c r="G48" s="55">
        <v>147</v>
      </c>
      <c r="H48" s="13"/>
      <c r="I48" s="61">
        <f>50+92+11+18</f>
        <v>171</v>
      </c>
      <c r="J48" s="14">
        <f t="shared" si="1"/>
        <v>24</v>
      </c>
      <c r="K48" s="7"/>
      <c r="L48" s="7"/>
      <c r="M48" s="7">
        <v>80</v>
      </c>
      <c r="N48" s="7"/>
      <c r="O48" s="51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>
      <c r="A49" s="8" t="s">
        <v>111</v>
      </c>
      <c r="B49" s="9" t="s">
        <v>112</v>
      </c>
      <c r="C49" s="10">
        <v>4</v>
      </c>
      <c r="D49" s="11">
        <v>1096</v>
      </c>
      <c r="E49" s="12">
        <f>IFERROR(VLOOKUP(G49,Sheet1!$A$1:$B$98,2,TRUE),0)</f>
        <v>1096</v>
      </c>
      <c r="F49" s="12">
        <f t="shared" si="2"/>
        <v>0</v>
      </c>
      <c r="G49" s="55">
        <v>120</v>
      </c>
      <c r="H49" s="13"/>
      <c r="I49" s="61">
        <f>125</f>
        <v>125</v>
      </c>
      <c r="J49" s="14">
        <f t="shared" si="1"/>
        <v>5</v>
      </c>
      <c r="K49" s="7"/>
      <c r="L49" s="7"/>
      <c r="M49" s="7"/>
      <c r="N49" s="7"/>
      <c r="O49" s="51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customHeight="1">
      <c r="A50" s="8" t="s">
        <v>113</v>
      </c>
      <c r="B50" s="9" t="s">
        <v>114</v>
      </c>
      <c r="C50" s="10">
        <v>6</v>
      </c>
      <c r="D50" s="11"/>
      <c r="E50" s="12">
        <f>IFERROR(VLOOKUP(G50,Sheet1!$A$1:$B$98,2,TRUE),0)</f>
        <v>457</v>
      </c>
      <c r="F50" s="12">
        <f t="shared" si="2"/>
        <v>457</v>
      </c>
      <c r="G50" s="55">
        <v>50</v>
      </c>
      <c r="H50" s="13"/>
      <c r="I50" s="61">
        <f>21</f>
        <v>21</v>
      </c>
      <c r="J50" s="14">
        <f t="shared" si="1"/>
        <v>-29</v>
      </c>
      <c r="K50" s="7"/>
      <c r="L50" s="7"/>
      <c r="M50" s="7"/>
      <c r="N50" s="7"/>
      <c r="O50" s="51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5.75" customHeight="1">
      <c r="A51" s="8" t="s">
        <v>115</v>
      </c>
      <c r="B51" s="9" t="s">
        <v>116</v>
      </c>
      <c r="C51" s="10">
        <v>3</v>
      </c>
      <c r="D51" s="11"/>
      <c r="E51" s="12">
        <f>IFERROR(VLOOKUP(G51,Sheet1!$A$1:$B$98,2,TRUE),0)</f>
        <v>776</v>
      </c>
      <c r="F51" s="12">
        <f t="shared" si="2"/>
        <v>776</v>
      </c>
      <c r="G51" s="55">
        <v>85</v>
      </c>
      <c r="H51" s="13"/>
      <c r="I51" s="61">
        <f>87+19</f>
        <v>106</v>
      </c>
      <c r="J51" s="14">
        <f t="shared" si="1"/>
        <v>21</v>
      </c>
      <c r="K51" s="7"/>
      <c r="L51" s="7"/>
      <c r="M51" s="7">
        <v>55</v>
      </c>
      <c r="N51" s="7"/>
      <c r="O51" s="51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.75" customHeight="1">
      <c r="A52" s="8" t="s">
        <v>117</v>
      </c>
      <c r="B52" s="9" t="s">
        <v>118</v>
      </c>
      <c r="C52" s="10">
        <v>1</v>
      </c>
      <c r="D52" s="11">
        <v>776</v>
      </c>
      <c r="E52" s="12">
        <f>IFERROR(VLOOKUP(G52,Sheet1!$A$1:$B$98,2,TRUE),0)</f>
        <v>776</v>
      </c>
      <c r="F52" s="12">
        <f t="shared" si="2"/>
        <v>0</v>
      </c>
      <c r="G52" s="55">
        <v>85</v>
      </c>
      <c r="H52" s="13"/>
      <c r="I52" s="61">
        <f>38+1+1+20+14+3+1</f>
        <v>78</v>
      </c>
      <c r="J52" s="14">
        <f>I52-G52</f>
        <v>-7</v>
      </c>
      <c r="K52" s="7"/>
      <c r="L52" s="7"/>
      <c r="M52" s="7">
        <v>69</v>
      </c>
      <c r="N52" s="7"/>
      <c r="O52" s="51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.75" customHeight="1">
      <c r="A53" s="8" t="s">
        <v>119</v>
      </c>
      <c r="B53" s="9" t="s">
        <v>120</v>
      </c>
      <c r="C53" s="10">
        <v>1</v>
      </c>
      <c r="D53" s="11">
        <v>457</v>
      </c>
      <c r="E53" s="12">
        <f>IFERROR(VLOOKUP(G53,Sheet1!$A$1:$B$98,2,TRUE),0)</f>
        <v>457</v>
      </c>
      <c r="F53" s="12">
        <f t="shared" si="2"/>
        <v>0</v>
      </c>
      <c r="G53" s="55">
        <v>46</v>
      </c>
      <c r="H53" s="13"/>
      <c r="I53" s="61">
        <f>17+6+2+13+2+6</f>
        <v>46</v>
      </c>
      <c r="J53" s="14">
        <f t="shared" si="1"/>
        <v>0</v>
      </c>
      <c r="K53" s="7"/>
      <c r="L53" s="7"/>
      <c r="M53" s="7">
        <v>67</v>
      </c>
      <c r="N53" s="7"/>
      <c r="O53" s="51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customHeight="1">
      <c r="A54" s="8" t="s">
        <v>121</v>
      </c>
      <c r="B54" s="9" t="s">
        <v>122</v>
      </c>
      <c r="C54" s="10">
        <v>1</v>
      </c>
      <c r="D54" s="11"/>
      <c r="E54" s="12">
        <f>IFERROR(VLOOKUP(G54,Sheet1!$A$1:$B$98,2,TRUE),0)</f>
        <v>731</v>
      </c>
      <c r="F54" s="12">
        <f t="shared" si="2"/>
        <v>731</v>
      </c>
      <c r="G54" s="55">
        <v>80</v>
      </c>
      <c r="H54" s="13"/>
      <c r="I54" s="61">
        <f>64+2+2+9</f>
        <v>77</v>
      </c>
      <c r="J54" s="14">
        <f t="shared" si="1"/>
        <v>-3</v>
      </c>
      <c r="K54" s="7"/>
      <c r="L54" s="7"/>
      <c r="M54" s="7">
        <v>82</v>
      </c>
      <c r="N54" s="7"/>
      <c r="O54" s="51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.75" customHeight="1">
      <c r="A55" s="8" t="s">
        <v>123</v>
      </c>
      <c r="B55" s="9" t="s">
        <v>124</v>
      </c>
      <c r="C55" s="10">
        <v>2</v>
      </c>
      <c r="D55" s="11">
        <v>457</v>
      </c>
      <c r="E55" s="12">
        <f>IFERROR(VLOOKUP(G55,Sheet1!$A$1:$B$98,2,TRUE),0)</f>
        <v>457</v>
      </c>
      <c r="F55" s="12">
        <f t="shared" si="2"/>
        <v>0</v>
      </c>
      <c r="G55" s="55">
        <v>50</v>
      </c>
      <c r="H55" s="13"/>
      <c r="I55" s="61">
        <f>3+20+13</f>
        <v>36</v>
      </c>
      <c r="J55" s="14">
        <f>I55-G55</f>
        <v>-14</v>
      </c>
      <c r="K55" s="7"/>
      <c r="L55" s="7"/>
      <c r="M55" s="7"/>
      <c r="N55" s="7"/>
      <c r="O55" s="51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.75" customHeight="1">
      <c r="A56" s="8" t="s">
        <v>125</v>
      </c>
      <c r="B56" s="9" t="s">
        <v>126</v>
      </c>
      <c r="C56" s="10">
        <v>5</v>
      </c>
      <c r="D56" s="11"/>
      <c r="E56" s="12">
        <f>IFERROR(VLOOKUP(G56,Sheet1!$A$1:$B$98,2,TRUE),0)</f>
        <v>365</v>
      </c>
      <c r="F56" s="12">
        <f t="shared" si="2"/>
        <v>365</v>
      </c>
      <c r="G56" s="55">
        <v>38</v>
      </c>
      <c r="H56" s="13"/>
      <c r="I56" s="61">
        <f>19+7</f>
        <v>26</v>
      </c>
      <c r="J56" s="14">
        <f t="shared" si="1"/>
        <v>-12</v>
      </c>
      <c r="K56" s="7">
        <v>75</v>
      </c>
      <c r="L56" s="7"/>
      <c r="M56" s="7" t="s">
        <v>22</v>
      </c>
      <c r="N56" s="7"/>
      <c r="O56" s="51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.75" customHeight="1">
      <c r="A57" s="8" t="s">
        <v>127</v>
      </c>
      <c r="B57" s="9" t="s">
        <v>128</v>
      </c>
      <c r="C57" s="10">
        <v>5</v>
      </c>
      <c r="D57" s="11"/>
      <c r="E57" s="12">
        <f>IFERROR(VLOOKUP(G57,Sheet1!$A$1:$B$98,2,TRUE),0)</f>
        <v>228</v>
      </c>
      <c r="F57" s="12">
        <f t="shared" si="2"/>
        <v>228</v>
      </c>
      <c r="G57" s="55">
        <v>23</v>
      </c>
      <c r="H57" s="13"/>
      <c r="I57" s="61">
        <f>25+3+1</f>
        <v>29</v>
      </c>
      <c r="J57" s="14">
        <f t="shared" si="1"/>
        <v>6</v>
      </c>
      <c r="K57" s="7"/>
      <c r="L57" s="7"/>
      <c r="M57" s="7" t="s">
        <v>22</v>
      </c>
      <c r="N57" s="7"/>
      <c r="O57" s="51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customHeight="1">
      <c r="A58" s="8" t="s">
        <v>129</v>
      </c>
      <c r="B58" s="9" t="s">
        <v>130</v>
      </c>
      <c r="C58" s="10">
        <v>3</v>
      </c>
      <c r="D58" s="11">
        <v>914</v>
      </c>
      <c r="E58" s="12">
        <f>IFERROR(VLOOKUP(G58,Sheet1!$A$1:$B$98,2,TRUE),0)</f>
        <v>914</v>
      </c>
      <c r="F58" s="12">
        <f t="shared" si="2"/>
        <v>0</v>
      </c>
      <c r="G58" s="55">
        <v>97</v>
      </c>
      <c r="H58" s="13"/>
      <c r="I58" s="61">
        <f>99+11+1+1</f>
        <v>112</v>
      </c>
      <c r="J58" s="14">
        <f t="shared" si="1"/>
        <v>15</v>
      </c>
      <c r="K58" s="7">
        <v>188</v>
      </c>
      <c r="L58" s="7"/>
      <c r="M58" s="7" t="s">
        <v>22</v>
      </c>
      <c r="N58" s="7"/>
      <c r="O58" s="51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75" customHeight="1">
      <c r="A59" s="8" t="s">
        <v>131</v>
      </c>
      <c r="B59" s="9" t="s">
        <v>132</v>
      </c>
      <c r="C59" s="10">
        <v>2</v>
      </c>
      <c r="D59" s="11"/>
      <c r="E59" s="12">
        <f>IFERROR(VLOOKUP(G59,Sheet1!$A$1:$B$98,2,TRUE),0)</f>
        <v>411</v>
      </c>
      <c r="F59" s="12">
        <f t="shared" si="2"/>
        <v>411</v>
      </c>
      <c r="G59" s="55">
        <v>43</v>
      </c>
      <c r="H59" s="13"/>
      <c r="I59" s="61">
        <f>39+1+3</f>
        <v>43</v>
      </c>
      <c r="J59" s="14">
        <f t="shared" si="1"/>
        <v>0</v>
      </c>
      <c r="K59" s="7">
        <v>90</v>
      </c>
      <c r="L59" s="7"/>
      <c r="M59" s="7" t="s">
        <v>22</v>
      </c>
      <c r="N59" s="7"/>
      <c r="O59" s="51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customHeight="1">
      <c r="A60" s="8" t="s">
        <v>133</v>
      </c>
      <c r="B60" s="9" t="s">
        <v>134</v>
      </c>
      <c r="C60" s="10">
        <v>2</v>
      </c>
      <c r="D60" s="11"/>
      <c r="E60" s="12">
        <f>IFERROR(VLOOKUP(G60,Sheet1!$A$1:$B$98,2,TRUE),0)</f>
        <v>365</v>
      </c>
      <c r="F60" s="12">
        <f t="shared" si="2"/>
        <v>365</v>
      </c>
      <c r="G60" s="55">
        <v>40</v>
      </c>
      <c r="H60" s="13"/>
      <c r="I60" s="61">
        <f>11+17+6+6+1+4+3</f>
        <v>48</v>
      </c>
      <c r="J60" s="14">
        <f t="shared" si="1"/>
        <v>8</v>
      </c>
      <c r="K60" s="7"/>
      <c r="L60" s="7"/>
      <c r="M60" s="7" t="s">
        <v>22</v>
      </c>
      <c r="N60" s="7"/>
      <c r="O60" s="51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5.75" customHeight="1">
      <c r="A61" s="8" t="s">
        <v>135</v>
      </c>
      <c r="B61" s="9" t="s">
        <v>136</v>
      </c>
      <c r="C61" s="10">
        <v>2</v>
      </c>
      <c r="D61" s="11">
        <v>823</v>
      </c>
      <c r="E61" s="12">
        <f>IFERROR(VLOOKUP(G61,Sheet1!$A$1:$B$98,2,TRUE),0)</f>
        <v>823</v>
      </c>
      <c r="F61" s="12">
        <f t="shared" si="2"/>
        <v>0</v>
      </c>
      <c r="G61" s="55">
        <v>88</v>
      </c>
      <c r="H61" s="13"/>
      <c r="I61" s="61">
        <f>23+7+1+50+4</f>
        <v>85</v>
      </c>
      <c r="J61" s="14">
        <f t="shared" si="1"/>
        <v>-3</v>
      </c>
      <c r="K61" s="7"/>
      <c r="L61" s="7"/>
      <c r="M61" s="7">
        <v>104</v>
      </c>
      <c r="N61" s="7"/>
      <c r="O61" s="51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5.75" customHeight="1">
      <c r="A62" s="8" t="s">
        <v>137</v>
      </c>
      <c r="B62" s="9" t="s">
        <v>138</v>
      </c>
      <c r="C62" s="10">
        <v>1</v>
      </c>
      <c r="D62" s="11">
        <v>503</v>
      </c>
      <c r="E62" s="12">
        <f>IFERROR(VLOOKUP(G62,Sheet1!$A$1:$B$98,2,TRUE),0)</f>
        <v>503</v>
      </c>
      <c r="F62" s="12">
        <f t="shared" si="2"/>
        <v>0</v>
      </c>
      <c r="G62" s="55">
        <v>55</v>
      </c>
      <c r="H62" s="13"/>
      <c r="I62" s="61">
        <f>71</f>
        <v>71</v>
      </c>
      <c r="J62" s="14">
        <f t="shared" si="1"/>
        <v>16</v>
      </c>
      <c r="K62" s="7"/>
      <c r="L62" s="7"/>
      <c r="M62" s="7"/>
      <c r="N62" s="7"/>
      <c r="O62" s="51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5.75" customHeight="1">
      <c r="A63" s="8" t="s">
        <v>139</v>
      </c>
      <c r="B63" s="9" t="s">
        <v>140</v>
      </c>
      <c r="C63" s="10">
        <v>5</v>
      </c>
      <c r="D63" s="11">
        <v>868</v>
      </c>
      <c r="E63" s="12">
        <f>IFERROR(VLOOKUP(G63,Sheet1!$A$1:$B$98,2,TRUE),0)</f>
        <v>868</v>
      </c>
      <c r="F63" s="12">
        <f t="shared" si="2"/>
        <v>0</v>
      </c>
      <c r="G63" s="55">
        <v>91</v>
      </c>
      <c r="H63" s="13"/>
      <c r="I63" s="61">
        <f>50+33</f>
        <v>83</v>
      </c>
      <c r="J63" s="14">
        <f t="shared" si="1"/>
        <v>-8</v>
      </c>
      <c r="K63" s="7"/>
      <c r="L63" s="7"/>
      <c r="M63" s="7">
        <v>17</v>
      </c>
      <c r="N63" s="7"/>
      <c r="O63" s="51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5.75" customHeight="1">
      <c r="A64" s="8" t="s">
        <v>141</v>
      </c>
      <c r="B64" s="9" t="s">
        <v>142</v>
      </c>
      <c r="C64" s="10">
        <v>4</v>
      </c>
      <c r="D64" s="11">
        <v>959</v>
      </c>
      <c r="E64" s="12">
        <f>IFERROR(VLOOKUP(G64,Sheet1!$A$1:$B$98,2,TRUE),0)</f>
        <v>959</v>
      </c>
      <c r="F64" s="12">
        <f t="shared" si="2"/>
        <v>0</v>
      </c>
      <c r="G64" s="55">
        <v>101</v>
      </c>
      <c r="H64" s="13"/>
      <c r="I64" s="61">
        <f>91+1+2</f>
        <v>94</v>
      </c>
      <c r="J64" s="14">
        <f t="shared" si="1"/>
        <v>-7</v>
      </c>
      <c r="K64" s="7">
        <v>161</v>
      </c>
      <c r="L64" s="7"/>
      <c r="M64" s="7" t="s">
        <v>22</v>
      </c>
      <c r="N64" s="7"/>
      <c r="O64" s="51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.75" customHeight="1">
      <c r="A65" s="8" t="s">
        <v>143</v>
      </c>
      <c r="B65" s="9" t="s">
        <v>144</v>
      </c>
      <c r="C65" s="10">
        <v>3</v>
      </c>
      <c r="D65" s="11">
        <v>1690</v>
      </c>
      <c r="E65" s="12">
        <f>IFERROR(VLOOKUP(G65,Sheet1!$A$1:$B$98,2,TRUE),0)</f>
        <v>1690</v>
      </c>
      <c r="F65" s="12">
        <f t="shared" si="2"/>
        <v>0</v>
      </c>
      <c r="G65" s="55">
        <v>182</v>
      </c>
      <c r="H65" s="13"/>
      <c r="I65" s="61">
        <f>116+66</f>
        <v>182</v>
      </c>
      <c r="J65" s="14">
        <f t="shared" si="1"/>
        <v>0</v>
      </c>
      <c r="K65" s="7">
        <v>224</v>
      </c>
      <c r="L65" s="7"/>
      <c r="M65" s="7" t="s">
        <v>22</v>
      </c>
      <c r="N65" s="7"/>
      <c r="O65" s="51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5.75" customHeight="1">
      <c r="A66" s="8" t="s">
        <v>145</v>
      </c>
      <c r="B66" s="9" t="s">
        <v>146</v>
      </c>
      <c r="C66" s="10">
        <v>4</v>
      </c>
      <c r="D66" s="11"/>
      <c r="E66" s="12">
        <f>IFERROR(VLOOKUP(G66,Sheet1!$A$1:$B$98,2,TRUE),0)</f>
        <v>823</v>
      </c>
      <c r="F66" s="12">
        <f t="shared" si="2"/>
        <v>823</v>
      </c>
      <c r="G66" s="55">
        <v>87</v>
      </c>
      <c r="H66" s="13"/>
      <c r="I66" s="61">
        <f>130+23+2-18+2+1</f>
        <v>140</v>
      </c>
      <c r="J66" s="14">
        <f t="shared" si="1"/>
        <v>53</v>
      </c>
      <c r="K66" s="7">
        <v>137</v>
      </c>
      <c r="L66" s="7"/>
      <c r="M66" s="7" t="s">
        <v>22</v>
      </c>
      <c r="N66" s="7"/>
      <c r="O66" s="51" t="s">
        <v>147</v>
      </c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5.75" customHeight="1">
      <c r="A67" s="8" t="s">
        <v>148</v>
      </c>
      <c r="B67" s="9" t="s">
        <v>149</v>
      </c>
      <c r="C67" s="10">
        <v>2</v>
      </c>
      <c r="D67" s="11">
        <v>503</v>
      </c>
      <c r="E67" s="12">
        <f>IFERROR(VLOOKUP(G67,Sheet1!$A$1:$B$98,2,TRUE),0)</f>
        <v>503</v>
      </c>
      <c r="F67" s="12">
        <f t="shared" si="2"/>
        <v>0</v>
      </c>
      <c r="G67" s="55">
        <v>55</v>
      </c>
      <c r="H67" s="13"/>
      <c r="I67" s="61">
        <f>103-1</f>
        <v>102</v>
      </c>
      <c r="J67" s="14">
        <f t="shared" si="1"/>
        <v>47</v>
      </c>
      <c r="K67" s="7">
        <v>130</v>
      </c>
      <c r="L67" s="7"/>
      <c r="M67" s="7" t="s">
        <v>22</v>
      </c>
      <c r="N67" s="7"/>
      <c r="O67" s="51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5.75" customHeight="1">
      <c r="A68" s="8" t="s">
        <v>150</v>
      </c>
      <c r="B68" s="9" t="s">
        <v>151</v>
      </c>
      <c r="C68" s="10">
        <v>2</v>
      </c>
      <c r="D68" s="11">
        <v>640</v>
      </c>
      <c r="E68" s="12">
        <f>IFERROR(VLOOKUP(G68,Sheet1!$A$1:$B$98,2,TRUE),0)</f>
        <v>640</v>
      </c>
      <c r="F68" s="12">
        <f t="shared" si="2"/>
        <v>0</v>
      </c>
      <c r="G68" s="55">
        <v>69</v>
      </c>
      <c r="H68" s="13"/>
      <c r="I68" s="61">
        <f>74+1</f>
        <v>75</v>
      </c>
      <c r="J68" s="14">
        <f>I68-G68</f>
        <v>6</v>
      </c>
      <c r="K68" s="7"/>
      <c r="L68" s="7"/>
      <c r="M68" s="7" t="s">
        <v>22</v>
      </c>
      <c r="N68" s="7"/>
      <c r="O68" s="51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5.75" customHeight="1">
      <c r="A69" s="8" t="s">
        <v>152</v>
      </c>
      <c r="B69" s="9" t="s">
        <v>153</v>
      </c>
      <c r="C69" s="10">
        <v>5</v>
      </c>
      <c r="D69" s="11">
        <v>1005</v>
      </c>
      <c r="E69" s="12">
        <f>IFERROR(VLOOKUP(G69,Sheet1!$A$1:$B$98,2,TRUE),0)</f>
        <v>1005</v>
      </c>
      <c r="F69" s="12">
        <f t="shared" si="2"/>
        <v>0</v>
      </c>
      <c r="G69" s="55">
        <v>110</v>
      </c>
      <c r="H69" s="13"/>
      <c r="I69" s="61">
        <f>155</f>
        <v>155</v>
      </c>
      <c r="J69" s="14">
        <f t="shared" ref="J69:J130" si="4">I69-G69</f>
        <v>45</v>
      </c>
      <c r="K69" s="7"/>
      <c r="L69" s="7"/>
      <c r="M69" s="7">
        <v>61</v>
      </c>
      <c r="N69" s="7"/>
      <c r="O69" s="51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5.75" customHeight="1">
      <c r="A70" s="8" t="s">
        <v>154</v>
      </c>
      <c r="B70" s="9" t="s">
        <v>155</v>
      </c>
      <c r="C70" s="10">
        <v>2</v>
      </c>
      <c r="D70" s="11">
        <v>457</v>
      </c>
      <c r="E70" s="12">
        <f>IFERROR(VLOOKUP(G70,Sheet1!$A$1:$B$98,2,TRUE),0)</f>
        <v>457</v>
      </c>
      <c r="F70" s="12">
        <f t="shared" si="2"/>
        <v>0</v>
      </c>
      <c r="G70" s="55">
        <v>50</v>
      </c>
      <c r="H70" s="13"/>
      <c r="I70" s="61">
        <f>44+1+5</f>
        <v>50</v>
      </c>
      <c r="J70" s="14">
        <f t="shared" si="4"/>
        <v>0</v>
      </c>
      <c r="K70" s="7"/>
      <c r="L70" s="7"/>
      <c r="M70" s="7">
        <v>48</v>
      </c>
      <c r="N70" s="7"/>
      <c r="O70" s="51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5.75" customHeight="1">
      <c r="A71" s="8" t="s">
        <v>156</v>
      </c>
      <c r="B71" s="9" t="s">
        <v>157</v>
      </c>
      <c r="C71" s="10">
        <v>1</v>
      </c>
      <c r="D71" s="11">
        <v>1142</v>
      </c>
      <c r="E71" s="12">
        <f>IFERROR(VLOOKUP(G71,Sheet1!$A$1:$B$98,2,TRUE),0)</f>
        <v>1142</v>
      </c>
      <c r="F71" s="12">
        <f t="shared" si="2"/>
        <v>0</v>
      </c>
      <c r="G71" s="55">
        <v>123</v>
      </c>
      <c r="H71" s="13"/>
      <c r="I71" s="61">
        <f>70+23</f>
        <v>93</v>
      </c>
      <c r="J71" s="14">
        <f t="shared" si="4"/>
        <v>-30</v>
      </c>
      <c r="K71" s="7"/>
      <c r="L71" s="7"/>
      <c r="M71" s="7">
        <v>38</v>
      </c>
      <c r="N71" s="7"/>
      <c r="O71" s="51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5.75" customHeight="1">
      <c r="A72" s="8" t="s">
        <v>158</v>
      </c>
      <c r="B72" s="9" t="s">
        <v>159</v>
      </c>
      <c r="C72" s="10">
        <v>1</v>
      </c>
      <c r="D72" s="11"/>
      <c r="E72" s="12">
        <f>IFERROR(VLOOKUP(G72,Sheet1!$A$1:$B$98,2,TRUE),0)</f>
        <v>228</v>
      </c>
      <c r="F72" s="12">
        <f t="shared" si="2"/>
        <v>228</v>
      </c>
      <c r="G72" s="55">
        <v>21</v>
      </c>
      <c r="H72" s="13"/>
      <c r="I72" s="61">
        <f>17+6+1+7-1+2+1</f>
        <v>33</v>
      </c>
      <c r="J72" s="14">
        <f t="shared" si="4"/>
        <v>12</v>
      </c>
      <c r="K72" s="7"/>
      <c r="L72" s="7"/>
      <c r="M72" s="7"/>
      <c r="N72" s="7"/>
      <c r="O72" s="51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.75" customHeight="1">
      <c r="A73" s="8" t="s">
        <v>160</v>
      </c>
      <c r="B73" s="9" t="s">
        <v>161</v>
      </c>
      <c r="C73" s="10">
        <v>1</v>
      </c>
      <c r="D73" s="11">
        <v>1371</v>
      </c>
      <c r="E73" s="12">
        <f>IFERROR(VLOOKUP(G73,Sheet1!$A$1:$B$98,2,TRUE),0)</f>
        <v>1371</v>
      </c>
      <c r="F73" s="12">
        <f t="shared" si="2"/>
        <v>0</v>
      </c>
      <c r="G73" s="55">
        <v>148</v>
      </c>
      <c r="H73" s="13"/>
      <c r="I73" s="61">
        <f>131+1+1+1+5+1+2+2+3+1</f>
        <v>148</v>
      </c>
      <c r="J73" s="14">
        <f t="shared" si="4"/>
        <v>0</v>
      </c>
      <c r="K73" s="7"/>
      <c r="L73" s="7"/>
      <c r="M73" s="7">
        <v>36</v>
      </c>
      <c r="N73" s="7"/>
      <c r="O73" s="51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.75" customHeight="1">
      <c r="A74" s="8" t="s">
        <v>162</v>
      </c>
      <c r="B74" s="9" t="s">
        <v>163</v>
      </c>
      <c r="C74" s="10">
        <v>4</v>
      </c>
      <c r="D74" s="11"/>
      <c r="E74" s="12">
        <f>IFERROR(VLOOKUP(G74,Sheet1!$A$1:$B$98,2,TRUE),0)</f>
        <v>823</v>
      </c>
      <c r="F74" s="12">
        <f t="shared" si="2"/>
        <v>823</v>
      </c>
      <c r="G74" s="55">
        <v>88</v>
      </c>
      <c r="H74" s="13"/>
      <c r="I74" s="61">
        <f>48+17+8+14</f>
        <v>87</v>
      </c>
      <c r="J74" s="14">
        <f t="shared" si="4"/>
        <v>-1</v>
      </c>
      <c r="K74" s="7"/>
      <c r="L74" s="7"/>
      <c r="M74" s="7">
        <v>75</v>
      </c>
      <c r="N74" s="7"/>
      <c r="O74" s="51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.75" customHeight="1">
      <c r="A75" s="8" t="s">
        <v>164</v>
      </c>
      <c r="B75" s="9" t="s">
        <v>165</v>
      </c>
      <c r="C75" s="10">
        <v>5</v>
      </c>
      <c r="D75" s="11"/>
      <c r="E75" s="12">
        <f>IFERROR(VLOOKUP(G75,Sheet1!$A$1:$B$98,2,TRUE),0)</f>
        <v>274</v>
      </c>
      <c r="F75" s="12">
        <f t="shared" si="2"/>
        <v>274</v>
      </c>
      <c r="G75" s="55">
        <v>27</v>
      </c>
      <c r="H75" s="13"/>
      <c r="I75" s="61">
        <f>3+27+1</f>
        <v>31</v>
      </c>
      <c r="J75" s="14">
        <f>I75-G75</f>
        <v>4</v>
      </c>
      <c r="K75" s="7"/>
      <c r="L75" s="7"/>
      <c r="M75" s="7"/>
      <c r="N75" s="7"/>
      <c r="O75" s="51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.75" customHeight="1">
      <c r="A76" s="8" t="s">
        <v>166</v>
      </c>
      <c r="B76" s="9" t="s">
        <v>167</v>
      </c>
      <c r="C76" s="10">
        <v>2</v>
      </c>
      <c r="D76" s="11">
        <v>959</v>
      </c>
      <c r="E76" s="12">
        <f>IFERROR(VLOOKUP(G76,Sheet1!$A$1:$B$98,2,TRUE),0)</f>
        <v>959</v>
      </c>
      <c r="F76" s="12">
        <f t="shared" si="2"/>
        <v>0</v>
      </c>
      <c r="G76" s="55">
        <v>105</v>
      </c>
      <c r="H76" s="13"/>
      <c r="I76" s="61">
        <f>128</f>
        <v>128</v>
      </c>
      <c r="J76" s="14">
        <f t="shared" si="4"/>
        <v>23</v>
      </c>
      <c r="K76" s="7"/>
      <c r="L76" s="7"/>
      <c r="M76" s="7">
        <v>77</v>
      </c>
      <c r="N76" s="7"/>
      <c r="O76" s="51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.75" customHeight="1">
      <c r="A77" s="8" t="s">
        <v>168</v>
      </c>
      <c r="B77" s="9" t="s">
        <v>169</v>
      </c>
      <c r="C77" s="10">
        <v>5</v>
      </c>
      <c r="D77" s="11"/>
      <c r="E77" s="12">
        <f>IFERROR(VLOOKUP(G77,Sheet1!$A$1:$B$98,2,TRUE),0)</f>
        <v>2786</v>
      </c>
      <c r="F77" s="12">
        <f t="shared" si="2"/>
        <v>2786</v>
      </c>
      <c r="G77" s="55">
        <v>302</v>
      </c>
      <c r="H77" s="13"/>
      <c r="I77" s="61">
        <f>41+13+4+93+5+42+38+19+1+37+1+1+1+7+4+3</f>
        <v>310</v>
      </c>
      <c r="J77" s="14">
        <f t="shared" si="4"/>
        <v>8</v>
      </c>
      <c r="K77" s="7">
        <v>289</v>
      </c>
      <c r="L77" s="7"/>
      <c r="M77" s="7" t="s">
        <v>22</v>
      </c>
      <c r="N77" s="7"/>
      <c r="O77" s="51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.75" customHeight="1">
      <c r="A78" s="8" t="s">
        <v>170</v>
      </c>
      <c r="B78" s="9" t="s">
        <v>171</v>
      </c>
      <c r="C78" s="10">
        <v>5</v>
      </c>
      <c r="D78" s="11"/>
      <c r="E78" s="12">
        <f>IFERROR(VLOOKUP(G78,Sheet1!$A$1:$B$98,2,TRUE),0)</f>
        <v>228</v>
      </c>
      <c r="F78" s="12">
        <f t="shared" si="2"/>
        <v>228</v>
      </c>
      <c r="G78" s="55">
        <v>24</v>
      </c>
      <c r="H78" s="13"/>
      <c r="I78" s="61">
        <f>25</f>
        <v>25</v>
      </c>
      <c r="J78" s="14">
        <f t="shared" si="4"/>
        <v>1</v>
      </c>
      <c r="K78" s="7">
        <v>39</v>
      </c>
      <c r="L78" s="7"/>
      <c r="M78" s="7" t="s">
        <v>22</v>
      </c>
      <c r="N78" s="7"/>
      <c r="O78" s="51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.75" customHeight="1">
      <c r="A79" s="8" t="s">
        <v>172</v>
      </c>
      <c r="B79" s="9" t="s">
        <v>173</v>
      </c>
      <c r="C79" s="10">
        <v>5</v>
      </c>
      <c r="D79" s="11">
        <v>274</v>
      </c>
      <c r="E79" s="12">
        <f>IFERROR(VLOOKUP(G79,Sheet1!$A$1:$B$98,2,TRUE),0)</f>
        <v>274</v>
      </c>
      <c r="F79" s="12">
        <f t="shared" si="2"/>
        <v>0</v>
      </c>
      <c r="G79" s="55">
        <v>28</v>
      </c>
      <c r="H79" s="13"/>
      <c r="I79" s="61">
        <f>20</f>
        <v>20</v>
      </c>
      <c r="J79" s="14">
        <f t="shared" si="4"/>
        <v>-8</v>
      </c>
      <c r="K79" s="7">
        <v>49</v>
      </c>
      <c r="L79" s="7"/>
      <c r="M79" s="7" t="s">
        <v>22</v>
      </c>
      <c r="N79" s="7"/>
      <c r="O79" s="51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.75" customHeight="1">
      <c r="A80" s="8" t="s">
        <v>174</v>
      </c>
      <c r="B80" s="9" t="s">
        <v>175</v>
      </c>
      <c r="C80" s="10">
        <v>5</v>
      </c>
      <c r="D80" s="11">
        <v>228</v>
      </c>
      <c r="E80" s="12">
        <f>IFERROR(VLOOKUP(G80,Sheet1!$A$1:$B$98,2,TRUE),0)</f>
        <v>228</v>
      </c>
      <c r="F80" s="12">
        <f t="shared" si="2"/>
        <v>0</v>
      </c>
      <c r="G80" s="55">
        <v>25</v>
      </c>
      <c r="H80" s="13"/>
      <c r="I80" s="61">
        <f>26</f>
        <v>26</v>
      </c>
      <c r="J80" s="14">
        <f>I80-G80</f>
        <v>1</v>
      </c>
      <c r="K80" s="7"/>
      <c r="L80" s="7"/>
      <c r="M80" s="7"/>
      <c r="N80" s="7"/>
      <c r="O80" s="51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.75" customHeight="1">
      <c r="A81" s="8" t="s">
        <v>176</v>
      </c>
      <c r="B81" s="9" t="s">
        <v>177</v>
      </c>
      <c r="C81" s="10">
        <v>4</v>
      </c>
      <c r="D81" s="11"/>
      <c r="E81" s="12">
        <f>IFERROR(VLOOKUP(G81,Sheet1!$A$1:$B$98,2,TRUE),0)</f>
        <v>1416</v>
      </c>
      <c r="F81" s="12">
        <f t="shared" si="2"/>
        <v>1416</v>
      </c>
      <c r="G81" s="55">
        <v>153</v>
      </c>
      <c r="H81" s="13"/>
      <c r="I81" s="61">
        <f>29+20+12+7+5+4+4+2+20+1+9+7+4+1</f>
        <v>125</v>
      </c>
      <c r="J81" s="14">
        <f t="shared" si="4"/>
        <v>-28</v>
      </c>
      <c r="K81" s="7">
        <v>117</v>
      </c>
      <c r="L81" s="7"/>
      <c r="M81" s="7" t="s">
        <v>22</v>
      </c>
      <c r="N81" s="7"/>
      <c r="O81" s="51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.75" customHeight="1">
      <c r="A82" s="8" t="s">
        <v>178</v>
      </c>
      <c r="B82" s="9" t="s">
        <v>179</v>
      </c>
      <c r="C82" s="10">
        <v>5</v>
      </c>
      <c r="D82" s="11">
        <v>685</v>
      </c>
      <c r="E82" s="12">
        <f>IFERROR(VLOOKUP(G82,Sheet1!$A$1:$B$98,2,TRUE),0)</f>
        <v>685</v>
      </c>
      <c r="F82" s="12">
        <f t="shared" si="2"/>
        <v>0</v>
      </c>
      <c r="G82" s="55">
        <v>71</v>
      </c>
      <c r="H82" s="13"/>
      <c r="I82" s="61">
        <f>55</f>
        <v>55</v>
      </c>
      <c r="J82" s="14">
        <f t="shared" si="4"/>
        <v>-16</v>
      </c>
      <c r="K82" s="7">
        <v>36</v>
      </c>
      <c r="L82" s="7"/>
      <c r="M82" s="7" t="s">
        <v>22</v>
      </c>
      <c r="N82" s="7"/>
      <c r="O82" s="51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.75" customHeight="1">
      <c r="A83" s="8" t="s">
        <v>180</v>
      </c>
      <c r="B83" s="9" t="s">
        <v>181</v>
      </c>
      <c r="C83" s="10">
        <v>1</v>
      </c>
      <c r="D83" s="11"/>
      <c r="E83" s="12">
        <f>IFERROR(VLOOKUP(G83,Sheet1!$A$1:$B$98,2,TRUE),0)</f>
        <v>1919</v>
      </c>
      <c r="F83" s="12">
        <f t="shared" si="2"/>
        <v>1919</v>
      </c>
      <c r="G83" s="55">
        <v>208</v>
      </c>
      <c r="H83" s="13"/>
      <c r="I83" s="61">
        <f>4+10+1+11+1</f>
        <v>27</v>
      </c>
      <c r="J83" s="14">
        <f t="shared" si="4"/>
        <v>-181</v>
      </c>
      <c r="K83" s="7"/>
      <c r="L83" s="7"/>
      <c r="M83" s="7"/>
      <c r="N83" s="7"/>
      <c r="O83" s="51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.75" customHeight="1">
      <c r="A84" s="8" t="s">
        <v>182</v>
      </c>
      <c r="B84" s="9" t="s">
        <v>183</v>
      </c>
      <c r="C84" s="10">
        <v>2</v>
      </c>
      <c r="D84" s="11">
        <v>228</v>
      </c>
      <c r="E84" s="12">
        <f>IFERROR(VLOOKUP(G84,Sheet1!$A$1:$B$98,2,TRUE),0)</f>
        <v>228</v>
      </c>
      <c r="F84" s="12">
        <f t="shared" si="2"/>
        <v>0</v>
      </c>
      <c r="G84" s="55">
        <v>22</v>
      </c>
      <c r="H84" s="13"/>
      <c r="I84" s="61">
        <f>8</f>
        <v>8</v>
      </c>
      <c r="J84" s="14">
        <f t="shared" si="4"/>
        <v>-14</v>
      </c>
      <c r="K84" s="7"/>
      <c r="L84" s="7"/>
      <c r="M84" s="7"/>
      <c r="N84" s="7"/>
      <c r="O84" s="51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.75" customHeight="1">
      <c r="A85" s="24" t="s">
        <v>184</v>
      </c>
      <c r="B85" s="49" t="s">
        <v>185</v>
      </c>
      <c r="C85" s="13">
        <v>6</v>
      </c>
      <c r="D85" s="11">
        <v>274</v>
      </c>
      <c r="E85" s="12">
        <f>IFERROR(VLOOKUP(G85,Sheet1!$A$1:$B$98,2,TRUE),0)</f>
        <v>274</v>
      </c>
      <c r="F85" s="12">
        <f>E85-D85</f>
        <v>0</v>
      </c>
      <c r="G85" s="55">
        <v>28</v>
      </c>
      <c r="H85" s="13"/>
      <c r="I85" s="61">
        <f>25</f>
        <v>25</v>
      </c>
      <c r="J85" s="14">
        <f t="shared" si="4"/>
        <v>-3</v>
      </c>
      <c r="K85" s="7">
        <v>35</v>
      </c>
      <c r="L85" s="7"/>
      <c r="M85" s="7" t="s">
        <v>22</v>
      </c>
      <c r="N85" s="7"/>
      <c r="O85" s="51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.75" customHeight="1">
      <c r="A86" s="8" t="s">
        <v>186</v>
      </c>
      <c r="B86" s="8" t="s">
        <v>187</v>
      </c>
      <c r="C86" s="13">
        <v>6</v>
      </c>
      <c r="D86" s="11">
        <v>274</v>
      </c>
      <c r="E86" s="12">
        <f>IFERROR(VLOOKUP(G86,Sheet1!$A$1:$B$98,2,TRUE),0)</f>
        <v>274</v>
      </c>
      <c r="F86" s="12">
        <f>E86-D86</f>
        <v>0</v>
      </c>
      <c r="G86" s="55">
        <v>27</v>
      </c>
      <c r="H86" s="13"/>
      <c r="I86" s="61">
        <f>26</f>
        <v>26</v>
      </c>
      <c r="J86" s="14">
        <f t="shared" si="4"/>
        <v>-1</v>
      </c>
      <c r="K86" s="7"/>
      <c r="L86" s="7"/>
      <c r="M86" s="7" t="s">
        <v>22</v>
      </c>
      <c r="N86" s="7"/>
      <c r="O86" s="51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.75" customHeight="1">
      <c r="A87" s="8" t="s">
        <v>188</v>
      </c>
      <c r="B87" s="9" t="s">
        <v>189</v>
      </c>
      <c r="C87" s="10">
        <v>3</v>
      </c>
      <c r="D87" s="11">
        <v>1279</v>
      </c>
      <c r="E87" s="12">
        <f>IFERROR(VLOOKUP(G87,Sheet1!$A$1:$B$98,2,TRUE),0)</f>
        <v>1279</v>
      </c>
      <c r="F87" s="12">
        <f t="shared" si="2"/>
        <v>0</v>
      </c>
      <c r="G87" s="55">
        <v>138</v>
      </c>
      <c r="H87" s="13"/>
      <c r="I87" s="61">
        <f>50+71+10+1+1</f>
        <v>133</v>
      </c>
      <c r="J87" s="14">
        <f t="shared" si="4"/>
        <v>-5</v>
      </c>
      <c r="K87" s="7">
        <v>162</v>
      </c>
      <c r="L87" s="7"/>
      <c r="M87" s="7" t="s">
        <v>22</v>
      </c>
      <c r="N87" s="7"/>
      <c r="O87" s="51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5.75" customHeight="1">
      <c r="A88" s="8" t="s">
        <v>190</v>
      </c>
      <c r="B88" s="9" t="s">
        <v>191</v>
      </c>
      <c r="C88" s="10">
        <v>2</v>
      </c>
      <c r="D88" s="11">
        <v>411</v>
      </c>
      <c r="E88" s="12">
        <f>IFERROR(VLOOKUP(G88,Sheet1!$A$1:$B$98,2,TRUE),0)</f>
        <v>411</v>
      </c>
      <c r="F88" s="12">
        <f t="shared" si="2"/>
        <v>0</v>
      </c>
      <c r="G88" s="55">
        <v>42</v>
      </c>
      <c r="H88" s="13"/>
      <c r="I88" s="61">
        <f>44+1</f>
        <v>45</v>
      </c>
      <c r="J88" s="14">
        <f t="shared" si="4"/>
        <v>3</v>
      </c>
      <c r="K88" s="7"/>
      <c r="L88" s="7"/>
      <c r="M88" s="7">
        <v>31</v>
      </c>
      <c r="N88" s="7"/>
      <c r="O88" s="51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5.75" customHeight="1">
      <c r="A89" s="8" t="s">
        <v>192</v>
      </c>
      <c r="B89" s="9" t="s">
        <v>193</v>
      </c>
      <c r="C89" s="10">
        <v>2</v>
      </c>
      <c r="D89" s="11">
        <v>411</v>
      </c>
      <c r="E89" s="12">
        <f>IFERROR(VLOOKUP(G89,Sheet1!$A$1:$B$98,2,TRUE),0)</f>
        <v>411</v>
      </c>
      <c r="F89" s="12">
        <f t="shared" si="2"/>
        <v>0</v>
      </c>
      <c r="G89" s="55">
        <v>41</v>
      </c>
      <c r="H89" s="13"/>
      <c r="I89" s="61">
        <f>39</f>
        <v>39</v>
      </c>
      <c r="J89" s="14">
        <f t="shared" si="4"/>
        <v>-2</v>
      </c>
      <c r="K89" s="7"/>
      <c r="L89" s="7"/>
      <c r="M89" s="7">
        <v>40</v>
      </c>
      <c r="N89" s="7"/>
      <c r="O89" s="51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5.75" customHeight="1">
      <c r="A90" s="8" t="s">
        <v>194</v>
      </c>
      <c r="B90" s="9" t="s">
        <v>195</v>
      </c>
      <c r="C90" s="10">
        <v>2</v>
      </c>
      <c r="D90" s="11">
        <v>228</v>
      </c>
      <c r="E90" s="12">
        <f>IFERROR(VLOOKUP(G90,Sheet1!$A$1:$B$98,2,TRUE),0)</f>
        <v>228</v>
      </c>
      <c r="F90" s="12">
        <f t="shared" si="2"/>
        <v>0</v>
      </c>
      <c r="G90" s="55">
        <v>21</v>
      </c>
      <c r="H90" s="13"/>
      <c r="I90" s="61">
        <f>26</f>
        <v>26</v>
      </c>
      <c r="J90" s="14">
        <f t="shared" si="4"/>
        <v>5</v>
      </c>
      <c r="K90" s="7"/>
      <c r="L90" s="7"/>
      <c r="M90" s="7">
        <v>21</v>
      </c>
      <c r="N90" s="7"/>
      <c r="O90" s="51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5.75" customHeight="1">
      <c r="A91" s="8" t="s">
        <v>196</v>
      </c>
      <c r="B91" s="9" t="s">
        <v>197</v>
      </c>
      <c r="C91" s="10">
        <v>2</v>
      </c>
      <c r="D91" s="11">
        <v>274</v>
      </c>
      <c r="E91" s="12">
        <f>IFERROR(VLOOKUP(G91,Sheet1!$A$1:$B$98,2,TRUE),0)</f>
        <v>274</v>
      </c>
      <c r="F91" s="12">
        <f t="shared" si="2"/>
        <v>0</v>
      </c>
      <c r="G91" s="55">
        <v>29</v>
      </c>
      <c r="H91" s="13"/>
      <c r="I91" s="61">
        <f>31</f>
        <v>31</v>
      </c>
      <c r="J91" s="14">
        <f t="shared" si="4"/>
        <v>2</v>
      </c>
      <c r="K91" s="7"/>
      <c r="L91" s="7"/>
      <c r="M91" s="7">
        <v>34</v>
      </c>
      <c r="N91" s="7"/>
      <c r="O91" s="51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5.75" customHeight="1">
      <c r="A92" s="8" t="s">
        <v>198</v>
      </c>
      <c r="B92" s="9" t="s">
        <v>199</v>
      </c>
      <c r="C92" s="10">
        <v>6</v>
      </c>
      <c r="D92" s="11"/>
      <c r="E92" s="12">
        <f>IFERROR(VLOOKUP(G92,Sheet1!$A$1:$B$98,2,TRUE),0)</f>
        <v>503</v>
      </c>
      <c r="F92" s="12">
        <f t="shared" si="2"/>
        <v>503</v>
      </c>
      <c r="G92" s="55">
        <v>52</v>
      </c>
      <c r="H92" s="13"/>
      <c r="I92" s="61">
        <f>118</f>
        <v>118</v>
      </c>
      <c r="J92" s="14">
        <f t="shared" si="4"/>
        <v>66</v>
      </c>
      <c r="K92" s="7"/>
      <c r="L92" s="7"/>
      <c r="M92" s="7">
        <v>45</v>
      </c>
      <c r="N92" s="7"/>
      <c r="O92" s="51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5.75" customHeight="1">
      <c r="A93" s="8" t="s">
        <v>200</v>
      </c>
      <c r="B93" s="9" t="s">
        <v>201</v>
      </c>
      <c r="C93" s="10">
        <v>1</v>
      </c>
      <c r="D93" s="11"/>
      <c r="E93" s="12">
        <f>IFERROR(VLOOKUP(G93,Sheet1!$A$1:$B$98,2,TRUE),0)</f>
        <v>731</v>
      </c>
      <c r="F93" s="12">
        <f t="shared" si="2"/>
        <v>731</v>
      </c>
      <c r="G93" s="55">
        <v>80</v>
      </c>
      <c r="H93" s="13"/>
      <c r="I93" s="61">
        <f>48+1+1+2+10+1+1+12+1</f>
        <v>77</v>
      </c>
      <c r="J93" s="14">
        <f t="shared" si="4"/>
        <v>-3</v>
      </c>
      <c r="K93" s="7"/>
      <c r="L93" s="7"/>
      <c r="M93" s="7">
        <v>60</v>
      </c>
      <c r="N93" s="7"/>
      <c r="O93" s="51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5.75" customHeight="1">
      <c r="A94" s="8" t="s">
        <v>202</v>
      </c>
      <c r="B94" s="9" t="s">
        <v>203</v>
      </c>
      <c r="C94" s="10">
        <v>4</v>
      </c>
      <c r="D94" s="11"/>
      <c r="E94" s="12">
        <f>IFERROR(VLOOKUP(G94,Sheet1!$A$1:$B$98,2,TRUE),0)</f>
        <v>868</v>
      </c>
      <c r="F94" s="12">
        <f t="shared" si="2"/>
        <v>868</v>
      </c>
      <c r="G94" s="55">
        <v>94</v>
      </c>
      <c r="H94" s="13"/>
      <c r="I94" s="61">
        <f>83+1+8+4</f>
        <v>96</v>
      </c>
      <c r="J94" s="14">
        <f t="shared" si="4"/>
        <v>2</v>
      </c>
      <c r="K94" s="7"/>
      <c r="L94" s="7"/>
      <c r="M94" s="7">
        <v>58</v>
      </c>
      <c r="N94" s="7"/>
      <c r="O94" s="51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5.75" customHeight="1">
      <c r="A95" s="8" t="s">
        <v>204</v>
      </c>
      <c r="B95" s="9" t="s">
        <v>205</v>
      </c>
      <c r="C95" s="10">
        <v>4</v>
      </c>
      <c r="D95" s="11">
        <v>1051</v>
      </c>
      <c r="E95" s="12">
        <f>IFERROR(VLOOKUP(G95,Sheet1!$A$1:$B$98,2,TRUE),0)</f>
        <v>1051</v>
      </c>
      <c r="F95" s="12">
        <f>E95-D95</f>
        <v>0</v>
      </c>
      <c r="G95" s="55">
        <v>114</v>
      </c>
      <c r="H95" s="13"/>
      <c r="I95" s="61">
        <f>47+32+34+15</f>
        <v>128</v>
      </c>
      <c r="J95" s="14">
        <f t="shared" si="4"/>
        <v>14</v>
      </c>
      <c r="K95" s="7"/>
      <c r="L95" s="7"/>
      <c r="M95" s="7"/>
      <c r="N95" s="7"/>
      <c r="O95" s="25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5.75" customHeight="1">
      <c r="A96" s="8" t="s">
        <v>206</v>
      </c>
      <c r="B96" s="9" t="s">
        <v>207</v>
      </c>
      <c r="C96" s="10">
        <v>2</v>
      </c>
      <c r="D96" s="11">
        <v>183</v>
      </c>
      <c r="E96" s="12">
        <f>IFERROR(VLOOKUP(G96,Sheet1!$A$1:$B$98,2,TRUE),0)</f>
        <v>183</v>
      </c>
      <c r="F96" s="12">
        <f t="shared" si="2"/>
        <v>0</v>
      </c>
      <c r="G96" s="55">
        <v>19</v>
      </c>
      <c r="H96" s="13"/>
      <c r="I96" s="61">
        <v>15</v>
      </c>
      <c r="J96" s="14">
        <f t="shared" si="4"/>
        <v>-4</v>
      </c>
      <c r="K96" s="7"/>
      <c r="L96" s="7"/>
      <c r="M96" s="7">
        <v>33</v>
      </c>
      <c r="N96" s="7"/>
      <c r="O96" s="51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5.75" customHeight="1">
      <c r="A97" s="8" t="s">
        <v>208</v>
      </c>
      <c r="B97" s="9" t="s">
        <v>209</v>
      </c>
      <c r="C97" s="10">
        <v>2</v>
      </c>
      <c r="D97" s="11">
        <v>183</v>
      </c>
      <c r="E97" s="12">
        <f>IFERROR(VLOOKUP(G97,Sheet1!$A$1:$B$98,2,TRUE),0)</f>
        <v>183</v>
      </c>
      <c r="F97" s="12">
        <f t="shared" si="2"/>
        <v>0</v>
      </c>
      <c r="G97" s="55">
        <v>20</v>
      </c>
      <c r="H97" s="13"/>
      <c r="I97" s="61">
        <v>11</v>
      </c>
      <c r="J97" s="14">
        <f t="shared" si="4"/>
        <v>-9</v>
      </c>
      <c r="K97" s="7"/>
      <c r="L97" s="7"/>
      <c r="M97" s="7">
        <v>28</v>
      </c>
      <c r="N97" s="7"/>
      <c r="O97" s="51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5.75" customHeight="1">
      <c r="A98" s="8" t="s">
        <v>210</v>
      </c>
      <c r="B98" s="9" t="s">
        <v>211</v>
      </c>
      <c r="C98" s="23">
        <v>2</v>
      </c>
      <c r="D98" s="11">
        <v>228</v>
      </c>
      <c r="E98" s="12">
        <f>IFERROR(VLOOKUP(G98,Sheet1!$A$1:$B$98,2,TRUE),0)</f>
        <v>228</v>
      </c>
      <c r="F98" s="12">
        <f t="shared" si="2"/>
        <v>0</v>
      </c>
      <c r="G98" s="55">
        <v>22</v>
      </c>
      <c r="H98" s="13"/>
      <c r="I98" s="61">
        <v>18</v>
      </c>
      <c r="J98" s="14">
        <f t="shared" si="4"/>
        <v>-4</v>
      </c>
      <c r="K98" s="7"/>
      <c r="L98" s="7"/>
      <c r="M98" s="7">
        <v>30</v>
      </c>
      <c r="N98" s="7"/>
      <c r="O98" s="51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5.75" customHeight="1">
      <c r="A99" s="8" t="s">
        <v>212</v>
      </c>
      <c r="B99" s="21" t="s">
        <v>213</v>
      </c>
      <c r="C99" s="41">
        <v>4</v>
      </c>
      <c r="D99" s="37">
        <v>914</v>
      </c>
      <c r="E99" s="12">
        <f>IFERROR(VLOOKUP(G99,Sheet1!$A$1:$B$98,2,TRUE),0)</f>
        <v>914</v>
      </c>
      <c r="F99" s="12">
        <f t="shared" si="2"/>
        <v>0</v>
      </c>
      <c r="G99" s="55">
        <v>99</v>
      </c>
      <c r="H99" s="13"/>
      <c r="I99" s="61">
        <f>96+1+1</f>
        <v>98</v>
      </c>
      <c r="J99" s="14">
        <f t="shared" si="4"/>
        <v>-1</v>
      </c>
      <c r="K99" s="7"/>
      <c r="L99" s="7"/>
      <c r="M99" s="7">
        <v>63</v>
      </c>
      <c r="N99" s="7"/>
      <c r="O99" s="51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5.75" customHeight="1">
      <c r="A100" s="8" t="s">
        <v>214</v>
      </c>
      <c r="B100" s="21" t="s">
        <v>215</v>
      </c>
      <c r="C100" s="65">
        <v>5</v>
      </c>
      <c r="D100" s="11">
        <v>2055</v>
      </c>
      <c r="E100" s="12">
        <f>IFERROR(VLOOKUP(G100,Sheet1!$A$1:$B$98,2,TRUE),0)</f>
        <v>2055</v>
      </c>
      <c r="F100" s="12">
        <f t="shared" si="2"/>
        <v>0</v>
      </c>
      <c r="G100" s="55">
        <v>222</v>
      </c>
      <c r="H100" s="13"/>
      <c r="I100" s="61">
        <f>50+172+1+1+1-4+1+1</f>
        <v>223</v>
      </c>
      <c r="J100" s="14">
        <f t="shared" si="4"/>
        <v>1</v>
      </c>
      <c r="K100" s="7">
        <v>179</v>
      </c>
      <c r="L100" s="7"/>
      <c r="M100" s="7" t="s">
        <v>22</v>
      </c>
      <c r="N100" s="7"/>
      <c r="O100" s="51" t="s">
        <v>216</v>
      </c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5.75" customHeight="1">
      <c r="A101" s="8" t="s">
        <v>217</v>
      </c>
      <c r="B101" s="21" t="s">
        <v>218</v>
      </c>
      <c r="C101" s="65">
        <v>3</v>
      </c>
      <c r="D101" s="11"/>
      <c r="E101" s="12">
        <f>IFERROR(VLOOKUP(G101,Sheet1!$A$1:$B$98,2,TRUE),0)</f>
        <v>0</v>
      </c>
      <c r="F101" s="12">
        <f t="shared" ref="F101" si="5">E101-D101</f>
        <v>0</v>
      </c>
      <c r="G101" s="55"/>
      <c r="H101" s="13"/>
      <c r="I101" s="61">
        <f>34+1+1+3+1+5+17</f>
        <v>62</v>
      </c>
      <c r="J101" s="14"/>
      <c r="K101" s="7"/>
      <c r="L101" s="7"/>
      <c r="M101" s="7"/>
      <c r="N101" s="7"/>
      <c r="O101" s="51" t="s">
        <v>91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5.75" customHeight="1">
      <c r="A102" s="8" t="s">
        <v>219</v>
      </c>
      <c r="B102" s="21" t="s">
        <v>220</v>
      </c>
      <c r="C102" s="13">
        <v>2</v>
      </c>
      <c r="D102" s="11"/>
      <c r="E102" s="12">
        <f>IFERROR(VLOOKUP(G102,Sheet1!$A$1:$B$98,2,TRUE),0)</f>
        <v>228</v>
      </c>
      <c r="F102" s="12">
        <f t="shared" si="2"/>
        <v>228</v>
      </c>
      <c r="G102" s="55">
        <v>21</v>
      </c>
      <c r="H102" s="13"/>
      <c r="I102" s="61">
        <f>8+4+2+4+2+1+13+2+1+20+6</f>
        <v>63</v>
      </c>
      <c r="J102" s="14">
        <f t="shared" si="4"/>
        <v>42</v>
      </c>
      <c r="K102" s="7"/>
      <c r="L102" s="7"/>
      <c r="M102" s="7">
        <v>15</v>
      </c>
      <c r="N102" s="7"/>
      <c r="O102" s="51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5.75" customHeight="1">
      <c r="A103" s="8" t="s">
        <v>221</v>
      </c>
      <c r="B103" s="21" t="s">
        <v>222</v>
      </c>
      <c r="C103" s="13">
        <v>6</v>
      </c>
      <c r="D103" s="11"/>
      <c r="E103" s="12">
        <f>IFERROR(VLOOKUP(G103,Sheet1!$A$1:$B$98,2,TRUE),0)</f>
        <v>0</v>
      </c>
      <c r="F103" s="12">
        <f t="shared" ref="F103" si="6">E103-D103</f>
        <v>0</v>
      </c>
      <c r="G103" s="55"/>
      <c r="H103" s="13"/>
      <c r="I103" s="61"/>
      <c r="J103" s="14"/>
      <c r="K103" s="7"/>
      <c r="L103" s="7"/>
      <c r="M103" s="7"/>
      <c r="N103" s="7"/>
      <c r="O103" s="51" t="s">
        <v>91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5.75" customHeight="1">
      <c r="A104" s="8" t="s">
        <v>223</v>
      </c>
      <c r="B104" s="21" t="s">
        <v>224</v>
      </c>
      <c r="C104" s="13">
        <v>3</v>
      </c>
      <c r="D104" s="11">
        <v>457</v>
      </c>
      <c r="E104" s="12">
        <f>IFERROR(VLOOKUP(G104,Sheet1!$A$1:$B$98,2,TRUE),0)</f>
        <v>457</v>
      </c>
      <c r="F104" s="12">
        <f t="shared" si="2"/>
        <v>0</v>
      </c>
      <c r="G104" s="55">
        <v>49</v>
      </c>
      <c r="H104" s="13"/>
      <c r="I104" s="61">
        <f>16</f>
        <v>16</v>
      </c>
      <c r="J104" s="14">
        <f t="shared" si="4"/>
        <v>-33</v>
      </c>
      <c r="K104" s="7"/>
      <c r="L104" s="7"/>
      <c r="M104" s="7">
        <v>23</v>
      </c>
      <c r="N104" s="7"/>
      <c r="O104" s="51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5.75" customHeight="1">
      <c r="A105" s="8" t="s">
        <v>225</v>
      </c>
      <c r="B105" s="9" t="s">
        <v>226</v>
      </c>
      <c r="C105" s="22">
        <v>2</v>
      </c>
      <c r="D105" s="11"/>
      <c r="E105" s="12">
        <f>IFERROR(VLOOKUP(G105,Sheet1!$A$1:$B$98,2,TRUE),0)</f>
        <v>776</v>
      </c>
      <c r="F105" s="12">
        <f t="shared" si="2"/>
        <v>776</v>
      </c>
      <c r="G105" s="55">
        <v>84</v>
      </c>
      <c r="H105" s="13"/>
      <c r="I105" s="61">
        <f>14+48+1+2+2+2+2+1+3</f>
        <v>75</v>
      </c>
      <c r="J105" s="14">
        <f t="shared" si="4"/>
        <v>-9</v>
      </c>
      <c r="K105" s="7"/>
      <c r="L105" s="7"/>
      <c r="M105" s="7">
        <v>80</v>
      </c>
      <c r="N105" s="7"/>
      <c r="O105" s="51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5.75" customHeight="1">
      <c r="A106" s="8" t="s">
        <v>227</v>
      </c>
      <c r="B106" s="9" t="s">
        <v>228</v>
      </c>
      <c r="C106" s="10">
        <v>2</v>
      </c>
      <c r="D106" s="11">
        <v>548</v>
      </c>
      <c r="E106" s="12">
        <f>IFERROR(VLOOKUP(G106,Sheet1!$A$1:$B$98,2,TRUE),0)</f>
        <v>548</v>
      </c>
      <c r="F106" s="12">
        <f t="shared" si="2"/>
        <v>0</v>
      </c>
      <c r="G106" s="55">
        <v>56</v>
      </c>
      <c r="H106" s="13"/>
      <c r="I106" s="61">
        <f>11+15+1+14+1+4+1+1+2+2+1+1+1+19+1</f>
        <v>75</v>
      </c>
      <c r="J106" s="14">
        <f t="shared" si="4"/>
        <v>19</v>
      </c>
      <c r="K106" s="7"/>
      <c r="L106" s="7"/>
      <c r="M106" s="7">
        <v>50</v>
      </c>
      <c r="N106" s="7"/>
      <c r="O106" s="51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5.75" customHeight="1">
      <c r="A107" s="8" t="s">
        <v>229</v>
      </c>
      <c r="B107" s="9" t="s">
        <v>230</v>
      </c>
      <c r="C107" s="10">
        <v>3</v>
      </c>
      <c r="D107" s="11">
        <v>594</v>
      </c>
      <c r="E107" s="12">
        <f>IFERROR(VLOOKUP(G107,Sheet1!$A$1:$B$98,2,TRUE),0)</f>
        <v>594</v>
      </c>
      <c r="F107" s="12">
        <f t="shared" si="2"/>
        <v>0</v>
      </c>
      <c r="G107" s="55">
        <v>65</v>
      </c>
      <c r="H107" s="13"/>
      <c r="I107" s="61">
        <f>40+50+6</f>
        <v>96</v>
      </c>
      <c r="J107" s="14">
        <f t="shared" si="4"/>
        <v>31</v>
      </c>
      <c r="K107" s="7"/>
      <c r="L107" s="7"/>
      <c r="M107" s="7">
        <v>61</v>
      </c>
      <c r="N107" s="7" t="s">
        <v>231</v>
      </c>
      <c r="O107" s="51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5.75" customHeight="1">
      <c r="A108" s="8" t="s">
        <v>232</v>
      </c>
      <c r="B108" s="9" t="s">
        <v>233</v>
      </c>
      <c r="C108" s="10">
        <v>5</v>
      </c>
      <c r="D108" s="11">
        <v>685</v>
      </c>
      <c r="E108" s="12">
        <f>IFERROR(VLOOKUP(G108,Sheet1!$A$1:$B$98,2,TRUE),0)</f>
        <v>685</v>
      </c>
      <c r="F108" s="12">
        <f t="shared" si="2"/>
        <v>0</v>
      </c>
      <c r="G108" s="55">
        <v>75</v>
      </c>
      <c r="H108" s="13"/>
      <c r="I108" s="61">
        <f>66</f>
        <v>66</v>
      </c>
      <c r="J108" s="14">
        <f t="shared" si="4"/>
        <v>-9</v>
      </c>
      <c r="K108" s="7"/>
      <c r="L108" s="7"/>
      <c r="M108" s="7">
        <v>64</v>
      </c>
      <c r="N108" s="7"/>
      <c r="O108" s="51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5.75" customHeight="1">
      <c r="A109" s="8" t="s">
        <v>234</v>
      </c>
      <c r="B109" s="9" t="s">
        <v>235</v>
      </c>
      <c r="C109" s="10">
        <v>2</v>
      </c>
      <c r="D109" s="11">
        <v>1553</v>
      </c>
      <c r="E109" s="12">
        <f>IFERROR(VLOOKUP(G109,Sheet1!$A$1:$B$98,2,TRUE),0)</f>
        <v>1553</v>
      </c>
      <c r="F109" s="12">
        <f t="shared" si="2"/>
        <v>0</v>
      </c>
      <c r="G109" s="55">
        <v>170</v>
      </c>
      <c r="H109" s="13"/>
      <c r="I109" s="61">
        <f>121+17+12+11</f>
        <v>161</v>
      </c>
      <c r="J109" s="14">
        <f t="shared" si="4"/>
        <v>-9</v>
      </c>
      <c r="K109" s="7">
        <v>187</v>
      </c>
      <c r="L109" s="7"/>
      <c r="M109" s="7" t="s">
        <v>22</v>
      </c>
      <c r="N109" s="7"/>
      <c r="O109" s="51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5.75" customHeight="1">
      <c r="A110" s="8" t="s">
        <v>236</v>
      </c>
      <c r="B110" s="38" t="s">
        <v>237</v>
      </c>
      <c r="C110" s="23">
        <v>3</v>
      </c>
      <c r="D110" s="11">
        <v>183</v>
      </c>
      <c r="E110" s="12">
        <f>IFERROR(VLOOKUP(G110,Sheet1!$A$1:$B$98,2,TRUE),0)</f>
        <v>183</v>
      </c>
      <c r="F110" s="12">
        <f t="shared" si="2"/>
        <v>0</v>
      </c>
      <c r="G110" s="55">
        <v>20</v>
      </c>
      <c r="H110" s="13"/>
      <c r="I110" s="61">
        <f>1+10+2+1+8</f>
        <v>22</v>
      </c>
      <c r="J110" s="14">
        <f t="shared" si="4"/>
        <v>2</v>
      </c>
      <c r="K110" s="7"/>
      <c r="L110" s="7"/>
      <c r="M110" s="7">
        <v>79</v>
      </c>
      <c r="N110" s="7"/>
      <c r="O110" s="51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5.75" customHeight="1">
      <c r="A111" s="66" t="s">
        <v>238</v>
      </c>
      <c r="B111" s="40" t="s">
        <v>239</v>
      </c>
      <c r="C111" s="41">
        <v>4</v>
      </c>
      <c r="D111" s="37"/>
      <c r="E111" s="12">
        <f>IFERROR(VLOOKUP(G111,Sheet1!$A$1:$B$98,2,TRUE),0)</f>
        <v>0</v>
      </c>
      <c r="F111" s="12">
        <f t="shared" ref="F111" si="7">E111-D111</f>
        <v>0</v>
      </c>
      <c r="G111" s="55"/>
      <c r="H111" s="13"/>
      <c r="I111" s="61">
        <f>30+1+1+1+3+9+2</f>
        <v>47</v>
      </c>
      <c r="J111" s="14"/>
      <c r="K111" s="7"/>
      <c r="L111" s="7"/>
      <c r="M111" s="7"/>
      <c r="N111" s="7"/>
      <c r="O111" s="51" t="s">
        <v>91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5.75" customHeight="1">
      <c r="A112" s="35" t="s">
        <v>240</v>
      </c>
      <c r="B112" s="40" t="s">
        <v>241</v>
      </c>
      <c r="C112" s="41">
        <v>6</v>
      </c>
      <c r="D112" s="37">
        <v>914</v>
      </c>
      <c r="E112" s="12">
        <f>IFERROR(VLOOKUP(G112,Sheet1!$A$1:$B$98,2,TRUE),0)</f>
        <v>914</v>
      </c>
      <c r="F112" s="12">
        <f t="shared" si="2"/>
        <v>0</v>
      </c>
      <c r="G112" s="55">
        <v>97</v>
      </c>
      <c r="H112" s="13"/>
      <c r="I112" s="61">
        <f>38+1+9+1</f>
        <v>49</v>
      </c>
      <c r="J112" s="14">
        <f t="shared" si="4"/>
        <v>-48</v>
      </c>
      <c r="K112" s="7"/>
      <c r="L112" s="7"/>
      <c r="M112" s="7">
        <v>59</v>
      </c>
      <c r="N112" s="7"/>
      <c r="O112" s="51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5.75" customHeight="1">
      <c r="A113" s="36" t="s">
        <v>242</v>
      </c>
      <c r="B113" s="40" t="s">
        <v>243</v>
      </c>
      <c r="C113" s="41">
        <v>4</v>
      </c>
      <c r="D113" s="37">
        <v>685</v>
      </c>
      <c r="E113" s="12">
        <f>IFERROR(VLOOKUP(G113,Sheet1!$A$1:$B$98,2,TRUE),0)</f>
        <v>685</v>
      </c>
      <c r="F113" s="12">
        <f t="shared" si="2"/>
        <v>0</v>
      </c>
      <c r="G113" s="55">
        <v>71</v>
      </c>
      <c r="H113" s="13"/>
      <c r="I113" s="61">
        <f>50+18</f>
        <v>68</v>
      </c>
      <c r="J113" s="14">
        <f t="shared" si="4"/>
        <v>-3</v>
      </c>
      <c r="K113" s="7"/>
      <c r="L113" s="7"/>
      <c r="M113" s="7"/>
      <c r="N113" s="7"/>
      <c r="O113" s="51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5.75" customHeight="1">
      <c r="A114" s="36" t="s">
        <v>244</v>
      </c>
      <c r="B114" s="42" t="s">
        <v>245</v>
      </c>
      <c r="C114" s="43">
        <v>1</v>
      </c>
      <c r="D114" s="50">
        <v>1188</v>
      </c>
      <c r="E114" s="12">
        <f>IFERROR(VLOOKUP(G114,Sheet1!$A$1:$B$98,2,TRUE),0)</f>
        <v>1188</v>
      </c>
      <c r="F114" s="12">
        <f t="shared" si="2"/>
        <v>0</v>
      </c>
      <c r="G114" s="56">
        <v>127</v>
      </c>
      <c r="H114" s="13"/>
      <c r="I114" s="62">
        <f>141</f>
        <v>141</v>
      </c>
      <c r="J114" s="14">
        <f t="shared" si="4"/>
        <v>14</v>
      </c>
      <c r="K114" s="7"/>
      <c r="L114" s="7"/>
      <c r="M114" s="7"/>
      <c r="N114" s="7"/>
      <c r="O114" s="51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5.75" customHeight="1">
      <c r="A115" s="40" t="s">
        <v>246</v>
      </c>
      <c r="B115" s="40" t="s">
        <v>247</v>
      </c>
      <c r="C115" s="41">
        <v>2</v>
      </c>
      <c r="D115" s="50"/>
      <c r="E115" s="12">
        <f>IFERROR(VLOOKUP(G115,Sheet1!$A$1:$B$98,2,TRUE),0)</f>
        <v>137</v>
      </c>
      <c r="F115" s="12">
        <f t="shared" si="2"/>
        <v>137</v>
      </c>
      <c r="G115" s="57">
        <v>3</v>
      </c>
      <c r="H115" s="47"/>
      <c r="I115" s="63"/>
      <c r="J115" s="48">
        <f>I115-G115</f>
        <v>-3</v>
      </c>
      <c r="K115" s="7"/>
      <c r="L115" s="7"/>
      <c r="M115" s="7"/>
      <c r="N115" s="7"/>
      <c r="O115" s="51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5.75" customHeight="1">
      <c r="A116" s="40" t="s">
        <v>248</v>
      </c>
      <c r="B116" s="40" t="s">
        <v>249</v>
      </c>
      <c r="C116" s="41">
        <v>3</v>
      </c>
      <c r="D116" s="46">
        <v>320</v>
      </c>
      <c r="E116" s="12">
        <f>IFERROR(VLOOKUP(G116,Sheet1!$A$1:$B$98,2,TRUE),0)</f>
        <v>320</v>
      </c>
      <c r="F116" s="12">
        <f t="shared" si="2"/>
        <v>0</v>
      </c>
      <c r="G116" s="58">
        <v>31</v>
      </c>
      <c r="H116" s="13"/>
      <c r="I116" s="64">
        <f>39+1</f>
        <v>40</v>
      </c>
      <c r="J116" s="14">
        <f t="shared" si="4"/>
        <v>9</v>
      </c>
      <c r="K116" s="7">
        <v>54</v>
      </c>
      <c r="L116" s="7"/>
      <c r="M116" s="7" t="s">
        <v>22</v>
      </c>
      <c r="N116" s="7"/>
      <c r="O116" s="51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5.75" customHeight="1">
      <c r="A117" s="44" t="s">
        <v>250</v>
      </c>
      <c r="B117" s="39" t="s">
        <v>251</v>
      </c>
      <c r="C117" s="22">
        <v>3</v>
      </c>
      <c r="D117" s="45">
        <v>228</v>
      </c>
      <c r="E117" s="12">
        <f>IFERROR(VLOOKUP(G117,Sheet1!$A$1:$B$98,2,TRUE),0)</f>
        <v>228</v>
      </c>
      <c r="F117" s="12">
        <f t="shared" si="2"/>
        <v>0</v>
      </c>
      <c r="G117" s="55">
        <v>24</v>
      </c>
      <c r="H117" s="13"/>
      <c r="I117" s="61">
        <f>19+11-10</f>
        <v>20</v>
      </c>
      <c r="J117" s="14">
        <f t="shared" si="4"/>
        <v>-4</v>
      </c>
      <c r="K117" s="7"/>
      <c r="L117" s="7"/>
      <c r="M117" s="7">
        <v>12</v>
      </c>
      <c r="N117" s="7"/>
      <c r="O117" s="51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5.75" customHeight="1">
      <c r="A118" s="8" t="s">
        <v>252</v>
      </c>
      <c r="B118" s="9" t="s">
        <v>253</v>
      </c>
      <c r="C118" s="10">
        <v>3</v>
      </c>
      <c r="D118" s="11">
        <v>1599</v>
      </c>
      <c r="E118" s="12">
        <f>IFERROR(VLOOKUP(G118,Sheet1!$A$1:$B$98,2,TRUE),0)</f>
        <v>1599</v>
      </c>
      <c r="F118" s="12">
        <f t="shared" si="2"/>
        <v>0</v>
      </c>
      <c r="G118" s="55">
        <v>174</v>
      </c>
      <c r="H118" s="13"/>
      <c r="I118" s="61">
        <f>136+9+1+1</f>
        <v>147</v>
      </c>
      <c r="J118" s="14">
        <f t="shared" si="4"/>
        <v>-27</v>
      </c>
      <c r="K118" s="7">
        <v>179</v>
      </c>
      <c r="L118" s="7"/>
      <c r="M118" s="7" t="s">
        <v>22</v>
      </c>
      <c r="N118" s="7"/>
      <c r="O118" s="51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5.75" customHeight="1">
      <c r="A119" s="8" t="s">
        <v>254</v>
      </c>
      <c r="B119" s="9" t="s">
        <v>255</v>
      </c>
      <c r="C119" s="10">
        <v>3</v>
      </c>
      <c r="D119" s="11"/>
      <c r="E119" s="12">
        <f>IFERROR(VLOOKUP(G119,Sheet1!$A$1:$B$98,2,TRUE),0)</f>
        <v>868</v>
      </c>
      <c r="F119" s="12">
        <f t="shared" si="2"/>
        <v>868</v>
      </c>
      <c r="G119" s="55">
        <v>94</v>
      </c>
      <c r="H119" s="13"/>
      <c r="I119" s="61">
        <f>50+49+2</f>
        <v>101</v>
      </c>
      <c r="J119" s="14">
        <f t="shared" si="4"/>
        <v>7</v>
      </c>
      <c r="K119" s="7">
        <v>58</v>
      </c>
      <c r="L119" s="7"/>
      <c r="M119" s="7" t="s">
        <v>22</v>
      </c>
      <c r="N119" s="7"/>
      <c r="O119" s="51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5.75" customHeight="1">
      <c r="A120" s="8" t="s">
        <v>256</v>
      </c>
      <c r="B120" s="9" t="s">
        <v>257</v>
      </c>
      <c r="C120" s="10">
        <v>1</v>
      </c>
      <c r="D120" s="11">
        <v>457</v>
      </c>
      <c r="E120" s="12">
        <f>IFERROR(VLOOKUP(G120,Sheet1!$A$1:$B$98,2,TRUE),0)</f>
        <v>457</v>
      </c>
      <c r="F120" s="12">
        <f t="shared" si="2"/>
        <v>0</v>
      </c>
      <c r="G120" s="55">
        <v>46</v>
      </c>
      <c r="H120" s="13"/>
      <c r="I120" s="61">
        <f>46</f>
        <v>46</v>
      </c>
      <c r="J120" s="14">
        <f t="shared" si="4"/>
        <v>0</v>
      </c>
      <c r="K120" s="7">
        <v>55</v>
      </c>
      <c r="L120" s="7"/>
      <c r="M120" s="7" t="s">
        <v>22</v>
      </c>
      <c r="N120" s="7"/>
      <c r="O120" s="51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5.75" customHeight="1">
      <c r="A121" s="8" t="s">
        <v>258</v>
      </c>
      <c r="B121" s="9" t="s">
        <v>259</v>
      </c>
      <c r="C121" s="23">
        <v>1</v>
      </c>
      <c r="D121" s="11">
        <v>183</v>
      </c>
      <c r="E121" s="12">
        <f>IFERROR(VLOOKUP(G121,Sheet1!$A$1:$B$98,2,TRUE),0)</f>
        <v>183</v>
      </c>
      <c r="F121" s="12">
        <f t="shared" si="2"/>
        <v>0</v>
      </c>
      <c r="G121" s="55">
        <v>20</v>
      </c>
      <c r="H121" s="13"/>
      <c r="I121" s="61">
        <v>20</v>
      </c>
      <c r="J121" s="14">
        <f t="shared" si="4"/>
        <v>0</v>
      </c>
      <c r="K121" s="7"/>
      <c r="L121" s="7"/>
      <c r="M121" s="7"/>
      <c r="N121" s="7"/>
      <c r="O121" s="51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5.75" customHeight="1">
      <c r="A122" s="8" t="s">
        <v>260</v>
      </c>
      <c r="B122" s="21" t="s">
        <v>261</v>
      </c>
      <c r="C122" s="13">
        <v>2</v>
      </c>
      <c r="D122" s="11">
        <v>1051</v>
      </c>
      <c r="E122" s="12">
        <f>IFERROR(VLOOKUP(G122,Sheet1!$A$1:$B$98,2,TRUE),0)</f>
        <v>1051</v>
      </c>
      <c r="F122" s="12">
        <f t="shared" si="2"/>
        <v>0</v>
      </c>
      <c r="G122" s="55">
        <v>112</v>
      </c>
      <c r="H122" s="13"/>
      <c r="I122" s="61">
        <f>91+4+5+2</f>
        <v>102</v>
      </c>
      <c r="J122" s="14">
        <f t="shared" si="4"/>
        <v>-10</v>
      </c>
      <c r="K122" s="7">
        <v>132</v>
      </c>
      <c r="L122" s="7"/>
      <c r="M122" s="7" t="s">
        <v>22</v>
      </c>
      <c r="N122" s="7"/>
      <c r="O122" s="51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5.75" customHeight="1">
      <c r="A123" s="8" t="s">
        <v>262</v>
      </c>
      <c r="B123" s="25" t="s">
        <v>263</v>
      </c>
      <c r="C123" s="13">
        <v>4</v>
      </c>
      <c r="D123" s="11"/>
      <c r="E123" s="12">
        <f>IFERROR(VLOOKUP(G123,Sheet1!$A$1:$B$98,2,TRUE),0)</f>
        <v>685</v>
      </c>
      <c r="F123" s="12">
        <f t="shared" si="2"/>
        <v>685</v>
      </c>
      <c r="G123" s="55">
        <v>74</v>
      </c>
      <c r="H123" s="13"/>
      <c r="I123" s="61">
        <f>9+28+10</f>
        <v>47</v>
      </c>
      <c r="J123" s="14">
        <f t="shared" si="4"/>
        <v>-27</v>
      </c>
      <c r="K123" s="7"/>
      <c r="L123" s="7"/>
      <c r="M123" s="7">
        <v>115</v>
      </c>
      <c r="N123" s="7"/>
      <c r="O123" s="51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5.75" customHeight="1">
      <c r="A124" s="8" t="s">
        <v>264</v>
      </c>
      <c r="B124" s="8" t="s">
        <v>265</v>
      </c>
      <c r="C124" s="13">
        <v>5</v>
      </c>
      <c r="D124" s="11">
        <v>274</v>
      </c>
      <c r="E124" s="12">
        <f>IFERROR(VLOOKUP(G124,Sheet1!$A$1:$B$98,2,TRUE),0)</f>
        <v>274</v>
      </c>
      <c r="F124" s="12">
        <f t="shared" si="2"/>
        <v>0</v>
      </c>
      <c r="G124" s="55">
        <v>26</v>
      </c>
      <c r="H124" s="13"/>
      <c r="I124" s="61">
        <f>13+26+1</f>
        <v>40</v>
      </c>
      <c r="J124" s="14">
        <f t="shared" si="4"/>
        <v>14</v>
      </c>
      <c r="K124" s="7"/>
      <c r="L124" s="7"/>
      <c r="M124" s="7"/>
      <c r="N124" s="7"/>
      <c r="O124" s="51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5.75" customHeight="1">
      <c r="A125" s="8" t="s">
        <v>266</v>
      </c>
      <c r="B125" s="49" t="s">
        <v>267</v>
      </c>
      <c r="C125" s="13">
        <v>6</v>
      </c>
      <c r="D125" s="11">
        <v>594</v>
      </c>
      <c r="E125" s="12">
        <f>IFERROR(VLOOKUP(G125,Sheet1!$A$1:$B$98,2,TRUE),0)</f>
        <v>594</v>
      </c>
      <c r="F125" s="12">
        <f t="shared" si="2"/>
        <v>0</v>
      </c>
      <c r="G125" s="55">
        <v>64</v>
      </c>
      <c r="H125" s="13"/>
      <c r="I125" s="61">
        <f>61</f>
        <v>61</v>
      </c>
      <c r="J125" s="14">
        <f t="shared" si="4"/>
        <v>-3</v>
      </c>
      <c r="K125" s="7">
        <v>75</v>
      </c>
      <c r="L125" s="7"/>
      <c r="M125" s="7" t="s">
        <v>22</v>
      </c>
      <c r="N125" s="7"/>
      <c r="O125" s="51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5.75" customHeight="1">
      <c r="A126" s="35" t="s">
        <v>268</v>
      </c>
      <c r="B126" s="40" t="s">
        <v>269</v>
      </c>
      <c r="C126" s="10">
        <v>2</v>
      </c>
      <c r="D126" s="11">
        <v>1142</v>
      </c>
      <c r="E126" s="12">
        <f>IFERROR(VLOOKUP(G126,Sheet1!$A$1:$B$98,2,TRUE),0)</f>
        <v>1142</v>
      </c>
      <c r="F126" s="12">
        <f t="shared" si="2"/>
        <v>0</v>
      </c>
      <c r="G126" s="55">
        <v>125</v>
      </c>
      <c r="H126" s="13"/>
      <c r="I126" s="61">
        <f>142</f>
        <v>142</v>
      </c>
      <c r="J126" s="14">
        <f t="shared" si="4"/>
        <v>17</v>
      </c>
      <c r="K126" s="7"/>
      <c r="L126" s="7"/>
      <c r="M126" s="7">
        <v>55</v>
      </c>
      <c r="N126" s="7"/>
      <c r="O126" s="51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5.75" customHeight="1">
      <c r="A127" s="8" t="s">
        <v>270</v>
      </c>
      <c r="B127" s="25" t="s">
        <v>271</v>
      </c>
      <c r="C127" s="13">
        <v>5</v>
      </c>
      <c r="D127" s="11"/>
      <c r="E127" s="12">
        <f>IFERROR(VLOOKUP(G127,Sheet1!$A$1:$B$98,2,TRUE),0)</f>
        <v>0</v>
      </c>
      <c r="F127" s="12">
        <f t="shared" si="2"/>
        <v>0</v>
      </c>
      <c r="G127" s="55"/>
      <c r="H127" s="13"/>
      <c r="I127" s="61">
        <f>46+6+2+2+4+1+2</f>
        <v>63</v>
      </c>
      <c r="J127" s="14">
        <f t="shared" si="4"/>
        <v>63</v>
      </c>
      <c r="K127" s="7"/>
      <c r="L127" s="7"/>
      <c r="M127" s="7"/>
      <c r="N127" s="7"/>
      <c r="O127" s="51" t="s">
        <v>91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5.75" customHeight="1">
      <c r="A128" s="8" t="s">
        <v>272</v>
      </c>
      <c r="B128" s="8" t="s">
        <v>273</v>
      </c>
      <c r="C128" s="13">
        <v>6</v>
      </c>
      <c r="D128" s="11">
        <v>274</v>
      </c>
      <c r="E128" s="12">
        <f>IFERROR(VLOOKUP(G128,Sheet1!$A$1:$B$98,2,TRUE),0)</f>
        <v>274</v>
      </c>
      <c r="F128" s="12">
        <f t="shared" si="2"/>
        <v>0</v>
      </c>
      <c r="G128" s="55">
        <v>27</v>
      </c>
      <c r="H128" s="13"/>
      <c r="I128" s="61">
        <f>37+1</f>
        <v>38</v>
      </c>
      <c r="J128" s="14">
        <f t="shared" si="4"/>
        <v>11</v>
      </c>
      <c r="K128" s="7"/>
      <c r="L128" s="7"/>
      <c r="M128" s="7">
        <v>38</v>
      </c>
      <c r="N128" s="7"/>
      <c r="O128" s="51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5.75" customHeight="1">
      <c r="A129" s="8" t="s">
        <v>274</v>
      </c>
      <c r="B129" s="9" t="s">
        <v>275</v>
      </c>
      <c r="C129" s="10">
        <v>4</v>
      </c>
      <c r="D129" s="11">
        <v>228</v>
      </c>
      <c r="E129" s="12">
        <f>IFERROR(VLOOKUP(G129,Sheet1!$A$1:$B$98,2,TRUE),0)</f>
        <v>228</v>
      </c>
      <c r="F129" s="12">
        <f t="shared" si="2"/>
        <v>0</v>
      </c>
      <c r="G129" s="55">
        <v>21</v>
      </c>
      <c r="H129" s="13"/>
      <c r="I129" s="61">
        <f>39</f>
        <v>39</v>
      </c>
      <c r="J129" s="14">
        <f t="shared" si="4"/>
        <v>18</v>
      </c>
      <c r="K129" s="7"/>
      <c r="L129" s="7"/>
      <c r="M129" s="7"/>
      <c r="N129" s="7"/>
      <c r="O129" s="51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5.75" customHeight="1">
      <c r="A130" s="8"/>
      <c r="B130" s="26" t="s">
        <v>276</v>
      </c>
      <c r="C130" s="27"/>
      <c r="D130" s="11">
        <f t="shared" ref="D130:I130" si="8">SUM(D2:D129)</f>
        <v>55695</v>
      </c>
      <c r="E130" s="11">
        <f t="shared" si="8"/>
        <v>81542</v>
      </c>
      <c r="F130" s="11">
        <f t="shared" si="8"/>
        <v>25847</v>
      </c>
      <c r="G130" s="59">
        <f t="shared" si="8"/>
        <v>8762</v>
      </c>
      <c r="H130" s="32">
        <f t="shared" si="8"/>
        <v>0</v>
      </c>
      <c r="I130" s="61">
        <f t="shared" si="8"/>
        <v>9143</v>
      </c>
      <c r="J130" s="14">
        <f t="shared" si="4"/>
        <v>381</v>
      </c>
      <c r="K130" s="7"/>
      <c r="L130" s="7"/>
      <c r="M130" s="7"/>
      <c r="N130" s="7"/>
      <c r="O130" s="51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24.75" customHeight="1">
      <c r="A131" s="7"/>
      <c r="B131" s="7"/>
      <c r="C131" s="28"/>
      <c r="D131" s="7"/>
      <c r="E131" s="7"/>
      <c r="F131" s="29"/>
      <c r="G131" s="30"/>
      <c r="H131" s="30"/>
      <c r="I131" s="30"/>
      <c r="K131" s="7"/>
      <c r="L131" s="7"/>
      <c r="M131" s="7"/>
      <c r="N131" s="7"/>
      <c r="O131" s="51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25.5" customHeight="1">
      <c r="A132" s="25" t="s">
        <v>277</v>
      </c>
      <c r="B132" s="33">
        <v>45761</v>
      </c>
      <c r="C132" s="28" t="s">
        <v>278</v>
      </c>
      <c r="D132" s="7"/>
      <c r="E132" s="7"/>
      <c r="F132" s="7"/>
      <c r="G132" s="30"/>
      <c r="H132" s="30"/>
      <c r="I132" s="30"/>
      <c r="K132" s="7"/>
      <c r="L132" s="7"/>
      <c r="M132" s="7"/>
      <c r="N132" s="7"/>
      <c r="O132" s="51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5.75" customHeight="1">
      <c r="A133" s="7"/>
      <c r="B133" s="33"/>
      <c r="C133" s="28"/>
      <c r="D133" s="7"/>
      <c r="E133" s="7"/>
      <c r="F133" s="7"/>
      <c r="G133" s="30"/>
      <c r="H133" s="30"/>
      <c r="I133" s="30"/>
      <c r="K133" s="7"/>
      <c r="L133" s="7"/>
      <c r="M133" s="7"/>
      <c r="N133" s="7"/>
      <c r="O133" s="51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5.75" customHeight="1">
      <c r="A134" s="7"/>
      <c r="B134" s="33"/>
      <c r="C134" s="28"/>
      <c r="D134" s="7"/>
      <c r="E134" s="7"/>
      <c r="F134" s="7"/>
      <c r="G134" s="7"/>
      <c r="H134" s="7"/>
      <c r="I134" s="7"/>
      <c r="K134" s="7"/>
      <c r="L134" s="7"/>
      <c r="M134" s="7"/>
      <c r="N134" s="7"/>
      <c r="O134" s="51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5.75" customHeight="1">
      <c r="A135" s="7"/>
      <c r="B135" s="33"/>
      <c r="C135" s="2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51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5.75" customHeight="1">
      <c r="A136" s="7"/>
      <c r="B136" s="33"/>
      <c r="C136" s="2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51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5.75" customHeight="1">
      <c r="A137" s="31"/>
      <c r="B137" s="33"/>
      <c r="C137" s="2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51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5.75" customHeight="1">
      <c r="A138" s="7"/>
      <c r="B138" s="33"/>
      <c r="C138" s="2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51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5" customHeight="1">
      <c r="B139" s="34"/>
    </row>
    <row r="140" spans="1:25" ht="15" customHeight="1">
      <c r="B140" s="34"/>
    </row>
    <row r="141" spans="1:25" ht="15" customHeight="1">
      <c r="B141" s="34"/>
    </row>
    <row r="142" spans="1:25" ht="15" customHeight="1">
      <c r="B142" s="34"/>
    </row>
    <row r="143" spans="1:25" ht="15" customHeight="1">
      <c r="B143" s="34"/>
    </row>
    <row r="144" spans="1:25" ht="15" customHeight="1">
      <c r="B144" s="34"/>
    </row>
    <row r="145" spans="2:2" ht="15" customHeight="1">
      <c r="B145" s="34"/>
    </row>
    <row r="146" spans="2:2" ht="15" customHeight="1">
      <c r="B146" s="34"/>
    </row>
    <row r="147" spans="2:2" ht="15" customHeight="1">
      <c r="B147" s="34"/>
    </row>
    <row r="148" spans="2:2" ht="15" customHeight="1">
      <c r="B148" s="34"/>
    </row>
    <row r="149" spans="2:2" ht="15" customHeight="1">
      <c r="B149" s="34"/>
    </row>
    <row r="150" spans="2:2" ht="15" customHeight="1">
      <c r="B150" s="34"/>
    </row>
    <row r="151" spans="2:2" ht="15" customHeight="1">
      <c r="B151" s="34"/>
    </row>
    <row r="152" spans="2:2" ht="15" customHeight="1">
      <c r="B152" s="34"/>
    </row>
    <row r="153" spans="2:2" ht="15" customHeight="1">
      <c r="B153" s="34"/>
    </row>
    <row r="154" spans="2:2" ht="15" customHeight="1">
      <c r="B154" s="34"/>
    </row>
    <row r="155" spans="2:2" ht="15" customHeight="1">
      <c r="B155" s="34"/>
    </row>
    <row r="156" spans="2:2" ht="15" customHeight="1">
      <c r="B156" s="34"/>
    </row>
    <row r="157" spans="2:2" ht="15" customHeight="1">
      <c r="B157" s="34"/>
    </row>
    <row r="158" spans="2:2" ht="15" customHeight="1">
      <c r="B158" s="34"/>
    </row>
    <row r="159" spans="2:2" ht="15" customHeight="1">
      <c r="B159" s="34"/>
    </row>
    <row r="160" spans="2:2" ht="15" customHeight="1">
      <c r="B160" s="34"/>
    </row>
    <row r="161" spans="2:2" ht="15" customHeight="1">
      <c r="B161" s="34"/>
    </row>
    <row r="162" spans="2:2" ht="15" customHeight="1">
      <c r="B162" s="34"/>
    </row>
  </sheetData>
  <pageMargins left="0.7" right="0.7" top="0.75" bottom="0.75" header="0" footer="0"/>
  <pageSetup fitToWidth="0" fitToHeight="0" orientation="portrait" r:id="rId1"/>
  <headerFooter>
    <oddHeader>&amp;L &amp;C2023-2024 Michigan FFA Rosters (as of &amp;D) &amp;T</oddHeader>
    <oddFooter>&amp;CPage &amp;P of &amp;N</oddFooter>
  </headerFooter>
  <ignoredErrors>
    <ignoredError sqref="J2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B1000"/>
  <sheetViews>
    <sheetView zoomScale="180" zoomScaleNormal="180" workbookViewId="0">
      <selection activeCell="B99" sqref="B99"/>
    </sheetView>
  </sheetViews>
  <sheetFormatPr defaultColWidth="11.21875" defaultRowHeight="15" customHeight="1"/>
  <cols>
    <col min="1" max="1" width="8" customWidth="1"/>
    <col min="2" max="2" width="11" customWidth="1"/>
    <col min="3" max="26" width="8" customWidth="1"/>
  </cols>
  <sheetData>
    <row r="1" spans="1:2">
      <c r="A1" s="15">
        <v>1</v>
      </c>
      <c r="B1" s="16">
        <v>137</v>
      </c>
    </row>
    <row r="2" spans="1:2">
      <c r="A2" s="15">
        <v>16</v>
      </c>
      <c r="B2" s="16">
        <v>183</v>
      </c>
    </row>
    <row r="3" spans="1:2">
      <c r="A3" s="15">
        <v>21</v>
      </c>
      <c r="B3" s="16">
        <v>228</v>
      </c>
    </row>
    <row r="4" spans="1:2">
      <c r="A4" s="15">
        <v>26</v>
      </c>
      <c r="B4" s="16">
        <v>274</v>
      </c>
    </row>
    <row r="5" spans="1:2">
      <c r="A5" s="15">
        <v>31</v>
      </c>
      <c r="B5" s="16">
        <v>320</v>
      </c>
    </row>
    <row r="6" spans="1:2">
      <c r="A6" s="15">
        <v>36</v>
      </c>
      <c r="B6" s="16">
        <v>365</v>
      </c>
    </row>
    <row r="7" spans="1:2">
      <c r="A7" s="15">
        <v>41</v>
      </c>
      <c r="B7" s="16">
        <v>411</v>
      </c>
    </row>
    <row r="8" spans="1:2">
      <c r="A8" s="15">
        <v>46</v>
      </c>
      <c r="B8" s="16">
        <v>457</v>
      </c>
    </row>
    <row r="9" spans="1:2">
      <c r="A9" s="15">
        <v>51</v>
      </c>
      <c r="B9" s="16">
        <v>503</v>
      </c>
    </row>
    <row r="10" spans="1:2">
      <c r="A10" s="15">
        <v>56</v>
      </c>
      <c r="B10" s="16">
        <v>548</v>
      </c>
    </row>
    <row r="11" spans="1:2">
      <c r="A11" s="15">
        <v>61</v>
      </c>
      <c r="B11" s="16">
        <v>594</v>
      </c>
    </row>
    <row r="12" spans="1:2">
      <c r="A12" s="15">
        <v>66</v>
      </c>
      <c r="B12" s="16">
        <v>640</v>
      </c>
    </row>
    <row r="13" spans="1:2">
      <c r="A13" s="15">
        <v>71</v>
      </c>
      <c r="B13" s="16">
        <v>685</v>
      </c>
    </row>
    <row r="14" spans="1:2">
      <c r="A14" s="15">
        <v>76</v>
      </c>
      <c r="B14" s="17">
        <v>731</v>
      </c>
    </row>
    <row r="15" spans="1:2">
      <c r="A15" s="15">
        <v>81</v>
      </c>
      <c r="B15" s="17">
        <v>776</v>
      </c>
    </row>
    <row r="16" spans="1:2">
      <c r="A16" s="15">
        <v>86</v>
      </c>
      <c r="B16" s="17">
        <v>823</v>
      </c>
    </row>
    <row r="17" spans="1:2">
      <c r="A17" s="15">
        <v>91</v>
      </c>
      <c r="B17" s="17">
        <v>868</v>
      </c>
    </row>
    <row r="18" spans="1:2">
      <c r="A18" s="15">
        <v>96</v>
      </c>
      <c r="B18" s="17">
        <v>914</v>
      </c>
    </row>
    <row r="19" spans="1:2">
      <c r="A19" s="15">
        <v>101</v>
      </c>
      <c r="B19" s="17">
        <v>959</v>
      </c>
    </row>
    <row r="20" spans="1:2">
      <c r="A20" s="15">
        <v>106</v>
      </c>
      <c r="B20" s="17">
        <v>1005</v>
      </c>
    </row>
    <row r="21" spans="1:2" ht="15.75" customHeight="1">
      <c r="A21" s="15">
        <v>111</v>
      </c>
      <c r="B21" s="17">
        <v>1051</v>
      </c>
    </row>
    <row r="22" spans="1:2" ht="15.75" customHeight="1">
      <c r="A22" s="15">
        <v>116</v>
      </c>
      <c r="B22" s="17">
        <v>1096</v>
      </c>
    </row>
    <row r="23" spans="1:2" ht="15.75" customHeight="1">
      <c r="A23" s="15">
        <v>121</v>
      </c>
      <c r="B23" s="17">
        <v>1142</v>
      </c>
    </row>
    <row r="24" spans="1:2" ht="15.75" customHeight="1">
      <c r="A24" s="15">
        <v>126</v>
      </c>
      <c r="B24" s="17">
        <v>1188</v>
      </c>
    </row>
    <row r="25" spans="1:2" ht="15.75" customHeight="1">
      <c r="A25" s="15">
        <v>131</v>
      </c>
      <c r="B25" s="17">
        <v>1233</v>
      </c>
    </row>
    <row r="26" spans="1:2" ht="15.75" customHeight="1">
      <c r="A26" s="15">
        <v>136</v>
      </c>
      <c r="B26" s="17">
        <v>1279</v>
      </c>
    </row>
    <row r="27" spans="1:2" ht="15.75" customHeight="1">
      <c r="A27" s="15">
        <v>141</v>
      </c>
      <c r="B27" s="17">
        <v>1324</v>
      </c>
    </row>
    <row r="28" spans="1:2" ht="15.75" customHeight="1">
      <c r="A28" s="15">
        <v>146</v>
      </c>
      <c r="B28" s="17">
        <v>1371</v>
      </c>
    </row>
    <row r="29" spans="1:2" ht="15.75" customHeight="1">
      <c r="A29" s="15">
        <v>151</v>
      </c>
      <c r="B29" s="17">
        <v>1416</v>
      </c>
    </row>
    <row r="30" spans="1:2" ht="15.75" customHeight="1">
      <c r="A30" s="15">
        <v>156</v>
      </c>
      <c r="B30" s="17">
        <v>1462</v>
      </c>
    </row>
    <row r="31" spans="1:2" ht="15.75" customHeight="1">
      <c r="A31" s="15">
        <v>161</v>
      </c>
      <c r="B31" s="17">
        <v>1507</v>
      </c>
    </row>
    <row r="32" spans="1:2" ht="15.75" customHeight="1">
      <c r="A32" s="15">
        <v>166</v>
      </c>
      <c r="B32" s="17">
        <v>1553</v>
      </c>
    </row>
    <row r="33" spans="1:2" ht="15.75" customHeight="1">
      <c r="A33" s="15">
        <v>171</v>
      </c>
      <c r="B33" s="17">
        <v>1599</v>
      </c>
    </row>
    <row r="34" spans="1:2" ht="15.75" customHeight="1">
      <c r="A34" s="15">
        <v>176</v>
      </c>
      <c r="B34" s="17">
        <v>1644</v>
      </c>
    </row>
    <row r="35" spans="1:2" ht="15.75" customHeight="1">
      <c r="A35" s="15">
        <v>181</v>
      </c>
      <c r="B35" s="17">
        <v>1690</v>
      </c>
    </row>
    <row r="36" spans="1:2" ht="15.75" customHeight="1">
      <c r="A36" s="15">
        <v>186</v>
      </c>
      <c r="B36" s="17">
        <v>1736</v>
      </c>
    </row>
    <row r="37" spans="1:2" ht="15.75" customHeight="1">
      <c r="A37" s="15">
        <v>191</v>
      </c>
      <c r="B37" s="17">
        <v>1782</v>
      </c>
    </row>
    <row r="38" spans="1:2" ht="15.75" customHeight="1">
      <c r="A38" s="15">
        <v>196</v>
      </c>
      <c r="B38" s="17">
        <v>1827</v>
      </c>
    </row>
    <row r="39" spans="1:2" ht="15.75" customHeight="1">
      <c r="A39" s="15">
        <v>201</v>
      </c>
      <c r="B39" s="17">
        <v>1873</v>
      </c>
    </row>
    <row r="40" spans="1:2" ht="15.75" customHeight="1">
      <c r="A40" s="15">
        <v>206</v>
      </c>
      <c r="B40" s="17">
        <v>1919</v>
      </c>
    </row>
    <row r="41" spans="1:2" ht="15.75" customHeight="1">
      <c r="A41" s="15">
        <v>211</v>
      </c>
      <c r="B41" s="17">
        <v>1964</v>
      </c>
    </row>
    <row r="42" spans="1:2" ht="15.75" customHeight="1">
      <c r="A42" s="15">
        <v>216</v>
      </c>
      <c r="B42" s="17">
        <v>2010</v>
      </c>
    </row>
    <row r="43" spans="1:2" ht="15.75" customHeight="1">
      <c r="A43" s="15">
        <v>221</v>
      </c>
      <c r="B43" s="17">
        <v>2055</v>
      </c>
    </row>
    <row r="44" spans="1:2" ht="15.75" customHeight="1">
      <c r="A44" s="15">
        <v>226</v>
      </c>
      <c r="B44" s="17">
        <v>2101</v>
      </c>
    </row>
    <row r="45" spans="1:2" ht="15.75" customHeight="1">
      <c r="A45" s="15">
        <v>231</v>
      </c>
      <c r="B45" s="17">
        <v>2147</v>
      </c>
    </row>
    <row r="46" spans="1:2" ht="15.75" customHeight="1">
      <c r="A46" s="15">
        <v>236</v>
      </c>
      <c r="B46" s="17">
        <v>2192</v>
      </c>
    </row>
    <row r="47" spans="1:2" ht="15.75" customHeight="1">
      <c r="A47" s="15">
        <v>241</v>
      </c>
      <c r="B47" s="17">
        <v>2238</v>
      </c>
    </row>
    <row r="48" spans="1:2" ht="15.75" customHeight="1">
      <c r="A48" s="15">
        <v>246</v>
      </c>
      <c r="B48" s="17">
        <v>2284</v>
      </c>
    </row>
    <row r="49" spans="1:2" ht="15.75" customHeight="1">
      <c r="A49" s="15">
        <v>251</v>
      </c>
      <c r="B49" s="17">
        <v>2330</v>
      </c>
    </row>
    <row r="50" spans="1:2" ht="15.75" customHeight="1">
      <c r="A50" s="15">
        <v>256</v>
      </c>
      <c r="B50" s="17">
        <v>2375</v>
      </c>
    </row>
    <row r="51" spans="1:2" ht="15.75" customHeight="1">
      <c r="A51" s="15">
        <v>261</v>
      </c>
      <c r="B51" s="17">
        <v>2421</v>
      </c>
    </row>
    <row r="52" spans="1:2" ht="15.75" customHeight="1">
      <c r="A52" s="15">
        <v>266</v>
      </c>
      <c r="B52" s="17">
        <v>2467</v>
      </c>
    </row>
    <row r="53" spans="1:2" ht="15.75" customHeight="1">
      <c r="A53" s="15">
        <v>271</v>
      </c>
      <c r="B53" s="17">
        <v>2512</v>
      </c>
    </row>
    <row r="54" spans="1:2" ht="15.75" customHeight="1">
      <c r="A54" s="15">
        <v>276</v>
      </c>
      <c r="B54" s="17">
        <v>2558</v>
      </c>
    </row>
    <row r="55" spans="1:2" ht="15.75" customHeight="1">
      <c r="A55" s="15">
        <v>281</v>
      </c>
      <c r="B55" s="17">
        <v>2603</v>
      </c>
    </row>
    <row r="56" spans="1:2" ht="15.75" customHeight="1">
      <c r="A56" s="15">
        <v>286</v>
      </c>
      <c r="B56" s="17">
        <v>2650</v>
      </c>
    </row>
    <row r="57" spans="1:2" ht="15.75" customHeight="1">
      <c r="A57" s="15">
        <v>291</v>
      </c>
      <c r="B57" s="17">
        <v>2695</v>
      </c>
    </row>
    <row r="58" spans="1:2" ht="15.75" customHeight="1">
      <c r="A58" s="15">
        <v>296</v>
      </c>
      <c r="B58" s="17">
        <v>2741</v>
      </c>
    </row>
    <row r="59" spans="1:2" ht="15.75" customHeight="1">
      <c r="A59" s="15">
        <v>301</v>
      </c>
      <c r="B59" s="18">
        <v>2786</v>
      </c>
    </row>
    <row r="60" spans="1:2" ht="15.75" customHeight="1">
      <c r="A60" s="15">
        <v>306</v>
      </c>
      <c r="B60" s="18">
        <v>2832</v>
      </c>
    </row>
    <row r="61" spans="1:2" ht="15.75" customHeight="1">
      <c r="A61" s="15">
        <v>311</v>
      </c>
      <c r="B61" s="18">
        <v>2878</v>
      </c>
    </row>
    <row r="62" spans="1:2" ht="15.75" customHeight="1">
      <c r="A62" s="15">
        <v>316</v>
      </c>
      <c r="B62" s="18">
        <v>2923</v>
      </c>
    </row>
    <row r="63" spans="1:2" ht="15.75" customHeight="1">
      <c r="A63" s="15">
        <v>321</v>
      </c>
      <c r="B63" s="18">
        <v>2969</v>
      </c>
    </row>
    <row r="64" spans="1:2" ht="15.75" customHeight="1">
      <c r="A64" s="15">
        <v>326</v>
      </c>
      <c r="B64" s="18">
        <v>3015</v>
      </c>
    </row>
    <row r="65" spans="1:2" ht="15.75" customHeight="1">
      <c r="A65" s="15">
        <v>331</v>
      </c>
      <c r="B65" s="18">
        <v>3060</v>
      </c>
    </row>
    <row r="66" spans="1:2" ht="15.75" customHeight="1">
      <c r="A66" s="15">
        <v>336</v>
      </c>
      <c r="B66" s="18">
        <v>3106</v>
      </c>
    </row>
    <row r="67" spans="1:2" ht="15.75" customHeight="1">
      <c r="A67" s="15">
        <v>341</v>
      </c>
      <c r="B67" s="18">
        <v>3151</v>
      </c>
    </row>
    <row r="68" spans="1:2" ht="15.75" customHeight="1">
      <c r="A68" s="15">
        <v>346</v>
      </c>
      <c r="B68" s="18">
        <v>3198</v>
      </c>
    </row>
    <row r="69" spans="1:2" ht="15.75" customHeight="1">
      <c r="A69" s="15">
        <v>351</v>
      </c>
      <c r="B69" s="18">
        <v>3243</v>
      </c>
    </row>
    <row r="70" spans="1:2" ht="15.75" customHeight="1">
      <c r="A70" s="15">
        <v>356</v>
      </c>
      <c r="B70" s="18">
        <v>3289</v>
      </c>
    </row>
    <row r="71" spans="1:2" ht="15.75" customHeight="1">
      <c r="A71" s="15">
        <v>361</v>
      </c>
      <c r="B71" s="18">
        <v>3334</v>
      </c>
    </row>
    <row r="72" spans="1:2" ht="15.75" customHeight="1">
      <c r="A72" s="15">
        <v>366</v>
      </c>
      <c r="B72" s="18">
        <v>3380</v>
      </c>
    </row>
    <row r="73" spans="1:2" ht="15.75" customHeight="1">
      <c r="A73" s="15">
        <v>371</v>
      </c>
      <c r="B73" s="18">
        <v>3426</v>
      </c>
    </row>
    <row r="74" spans="1:2" ht="15.75" customHeight="1">
      <c r="A74" s="15">
        <v>376</v>
      </c>
      <c r="B74" s="18">
        <v>3471</v>
      </c>
    </row>
    <row r="75" spans="1:2" ht="15.75" customHeight="1">
      <c r="A75" s="15">
        <v>381</v>
      </c>
      <c r="B75" s="18">
        <v>3517</v>
      </c>
    </row>
    <row r="76" spans="1:2" ht="15.75" customHeight="1">
      <c r="A76" s="15">
        <v>386</v>
      </c>
      <c r="B76" s="18">
        <v>3563</v>
      </c>
    </row>
    <row r="77" spans="1:2" ht="15.75" customHeight="1">
      <c r="A77" s="15">
        <v>391</v>
      </c>
      <c r="B77" s="18">
        <v>3609</v>
      </c>
    </row>
    <row r="78" spans="1:2" ht="15.75" customHeight="1">
      <c r="A78" s="15">
        <v>396</v>
      </c>
      <c r="B78" s="18">
        <v>3654</v>
      </c>
    </row>
    <row r="79" spans="1:2" ht="15.75" customHeight="1">
      <c r="A79" s="15">
        <v>401</v>
      </c>
      <c r="B79" s="18">
        <v>3700</v>
      </c>
    </row>
    <row r="80" spans="1:2" ht="15.75" customHeight="1">
      <c r="A80" s="15">
        <v>406</v>
      </c>
      <c r="B80" s="18">
        <v>3746</v>
      </c>
    </row>
    <row r="81" spans="1:2" ht="15.75" customHeight="1">
      <c r="A81" s="15">
        <v>411</v>
      </c>
      <c r="B81" s="18">
        <v>3791</v>
      </c>
    </row>
    <row r="82" spans="1:2" ht="15.75" customHeight="1">
      <c r="A82" s="15">
        <v>416</v>
      </c>
      <c r="B82" s="18">
        <v>3837</v>
      </c>
    </row>
    <row r="83" spans="1:2" ht="15.75" customHeight="1">
      <c r="A83" s="15">
        <v>421</v>
      </c>
      <c r="B83" s="18">
        <v>3882</v>
      </c>
    </row>
    <row r="84" spans="1:2" ht="15.75" customHeight="1">
      <c r="A84" s="15">
        <v>426</v>
      </c>
      <c r="B84" s="18">
        <v>3928</v>
      </c>
    </row>
    <row r="85" spans="1:2" ht="15.75" customHeight="1">
      <c r="A85" s="15">
        <v>431</v>
      </c>
      <c r="B85" s="18">
        <v>3974</v>
      </c>
    </row>
    <row r="86" spans="1:2" ht="15.75" customHeight="1">
      <c r="A86" s="15">
        <v>436</v>
      </c>
      <c r="B86" s="18">
        <v>4019</v>
      </c>
    </row>
    <row r="87" spans="1:2" ht="15.75" customHeight="1">
      <c r="A87" s="15">
        <v>441</v>
      </c>
      <c r="B87" s="18">
        <v>4065</v>
      </c>
    </row>
    <row r="88" spans="1:2" ht="15.75" customHeight="1">
      <c r="A88" s="15">
        <v>446</v>
      </c>
      <c r="B88" s="18">
        <v>4111</v>
      </c>
    </row>
    <row r="89" spans="1:2" ht="15.75" customHeight="1">
      <c r="A89" s="15">
        <v>451</v>
      </c>
      <c r="B89" s="18">
        <v>4157</v>
      </c>
    </row>
    <row r="90" spans="1:2" ht="15.75" customHeight="1">
      <c r="A90" s="15">
        <v>456</v>
      </c>
      <c r="B90" s="18">
        <v>4202</v>
      </c>
    </row>
    <row r="91" spans="1:2" ht="15.75" customHeight="1">
      <c r="A91" s="15">
        <v>461</v>
      </c>
      <c r="B91" s="18">
        <v>4248</v>
      </c>
    </row>
    <row r="92" spans="1:2" ht="15.75" customHeight="1">
      <c r="A92" s="15">
        <v>466</v>
      </c>
      <c r="B92" s="18">
        <v>4293</v>
      </c>
    </row>
    <row r="93" spans="1:2" ht="15.75" customHeight="1">
      <c r="A93" s="15">
        <v>471</v>
      </c>
      <c r="B93" s="18">
        <v>4339</v>
      </c>
    </row>
    <row r="94" spans="1:2" ht="15.75" customHeight="1">
      <c r="A94" s="15">
        <v>476</v>
      </c>
      <c r="B94" s="18">
        <v>4384</v>
      </c>
    </row>
    <row r="95" spans="1:2" ht="15.75" customHeight="1">
      <c r="A95" s="15">
        <v>481</v>
      </c>
      <c r="B95" s="18">
        <v>4430</v>
      </c>
    </row>
    <row r="96" spans="1:2" ht="15.75" customHeight="1">
      <c r="A96" s="15">
        <v>486</v>
      </c>
      <c r="B96" s="18">
        <v>4476</v>
      </c>
    </row>
    <row r="97" spans="1:2" ht="15.75" customHeight="1">
      <c r="A97" s="15">
        <v>491</v>
      </c>
      <c r="B97" s="18">
        <v>4521</v>
      </c>
    </row>
    <row r="98" spans="1:2" ht="15.75" customHeight="1">
      <c r="A98" s="15">
        <v>496</v>
      </c>
      <c r="B98" s="18">
        <v>4567</v>
      </c>
    </row>
    <row r="99" spans="1:2" ht="15.75" customHeight="1">
      <c r="B99">
        <f>SUM(B1:B98)</f>
        <v>230530</v>
      </c>
    </row>
    <row r="100" spans="1:2" ht="15.75" customHeight="1"/>
    <row r="101" spans="1:2" ht="15.75" customHeight="1"/>
    <row r="102" spans="1:2" ht="15.75" customHeight="1"/>
    <row r="103" spans="1:2" ht="15.75" customHeight="1"/>
    <row r="104" spans="1:2" ht="15.75" customHeight="1"/>
    <row r="105" spans="1:2" ht="15.75" customHeight="1"/>
    <row r="106" spans="1:2" ht="15.75" customHeight="1"/>
    <row r="107" spans="1:2" ht="15.75" customHeight="1"/>
    <row r="108" spans="1:2" ht="15.75" customHeight="1"/>
    <row r="109" spans="1:2" ht="15.75" customHeight="1"/>
    <row r="110" spans="1:2" ht="15.75" customHeight="1"/>
    <row r="111" spans="1:2" ht="15.75" customHeight="1"/>
    <row r="112" spans="1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bb6c015b-0b85-4993-9481-2c8bf00e80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9850B61440D742B91DDF059547036C" ma:contentTypeVersion="20" ma:contentTypeDescription="Create a new document." ma:contentTypeScope="" ma:versionID="c09a6ea577874dba40d3da00d4ce9b47">
  <xsd:schema xmlns:xsd="http://www.w3.org/2001/XMLSchema" xmlns:xs="http://www.w3.org/2001/XMLSchema" xmlns:p="http://schemas.microsoft.com/office/2006/metadata/properties" xmlns:ns1="http://schemas.microsoft.com/sharepoint/v3" xmlns:ns3="bb6c015b-0b85-4993-9481-2c8bf00e80f3" xmlns:ns4="ba9ab956-9040-40c7-99fc-6c401458ac43" targetNamespace="http://schemas.microsoft.com/office/2006/metadata/properties" ma:root="true" ma:fieldsID="300a98ebfd57de380ba72315697df735" ns1:_="" ns3:_="" ns4:_="">
    <xsd:import namespace="http://schemas.microsoft.com/sharepoint/v3"/>
    <xsd:import namespace="bb6c015b-0b85-4993-9481-2c8bf00e80f3"/>
    <xsd:import namespace="ba9ab956-9040-40c7-99fc-6c401458ac4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015b-0b85-4993-9481-2c8bf00e8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ab956-9040-40c7-99fc-6c401458ac4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881712-3497-46E2-B5D5-9386D90BBB12}"/>
</file>

<file path=customXml/itemProps2.xml><?xml version="1.0" encoding="utf-8"?>
<ds:datastoreItem xmlns:ds="http://schemas.openxmlformats.org/officeDocument/2006/customXml" ds:itemID="{E53C75A3-1155-40CC-9C2B-41AE3860730E}"/>
</file>

<file path=customXml/itemProps3.xml><?xml version="1.0" encoding="utf-8"?>
<ds:datastoreItem xmlns:ds="http://schemas.openxmlformats.org/officeDocument/2006/customXml" ds:itemID="{90F249EA-A00C-49F3-93BA-0A955E33D2F5}"/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Gateway Customer</dc:creator>
  <cp:keywords/>
  <dc:description/>
  <cp:lastModifiedBy/>
  <cp:revision/>
  <dcterms:created xsi:type="dcterms:W3CDTF">1997-09-24T19:23:04Z</dcterms:created>
  <dcterms:modified xsi:type="dcterms:W3CDTF">2025-04-14T13:58:17Z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0x0101007B9850B61440D742B91DDF059547036C</vt:lpwstr>
  </property>
</Properties>
</file>